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C:\Users\Luisa\Documents\Trabajos\MinJusticia\PAAC\Seguimiento PAAC\2023\Segundo cuatrimestre\"/>
    </mc:Choice>
  </mc:AlternateContent>
  <xr:revisionPtr revIDLastSave="0" documentId="13_ncr:1_{A227B961-64F7-42F6-9362-50744A0ECE5F}" xr6:coauthVersionLast="47" xr6:coauthVersionMax="47" xr10:uidLastSave="{00000000-0000-0000-0000-000000000000}"/>
  <bookViews>
    <workbookView xWindow="-110" yWindow="-110" windowWidth="19420" windowHeight="11020" tabRatio="859" firstSheet="1" activeTab="1" xr2:uid="{00000000-000D-0000-FFFF-FFFF00000000}"/>
  </bookViews>
  <sheets>
    <sheet name="Listados" sheetId="7" state="hidden" r:id="rId1"/>
    <sheet name="Matriz Riesgos Gestión" sheetId="10" r:id="rId2"/>
    <sheet name="Hoja2" sheetId="17" r:id="rId3"/>
    <sheet name="Matriz Riesgos Corrupción" sheetId="6" state="hidden" r:id="rId4"/>
    <sheet name="Matriz Riesgos Seg. Información" sheetId="12" state="hidden" r:id="rId5"/>
    <sheet name="Seguridad Información" sheetId="13" state="hidden" r:id="rId6"/>
    <sheet name="Probabilidad Seguridad Informac" sheetId="14" state="hidden" r:id="rId7"/>
    <sheet name="Riesgo Corrupción" sheetId="9" state="hidden" r:id="rId8"/>
    <sheet name="Corrupción" sheetId="5" state="hidden" r:id="rId9"/>
    <sheet name="CONTROLES" sheetId="11" state="hidden" r:id="rId10"/>
    <sheet name="Matriz de calificación" sheetId="4" state="hidden" r:id="rId11"/>
    <sheet name="Matriz de calificación (2)" sheetId="15"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10._CIFRADO.">'Seguridad Información'!$G$45:$G$46</definedName>
    <definedName name="_11._SEGURIDAD_FÍSICA_Y_AMBIENTAL.">'Seguridad Información'!$H$45:$H$59</definedName>
    <definedName name="_12._SEGURIDAD_EN_LA_OPERATIVA.">'Seguridad Información'!$I$45:$I$58</definedName>
    <definedName name="_13._SEGURIDAD_EN_LAS_TELECOMUNICACIONES.">'Seguridad Información'!$J$45:$J$51</definedName>
    <definedName name="_14._ADQUISICIÓN__DESARROLLO_Y_MANTENIMIENTO_DE_LOS_SISTEMAS_DE_INFORMACIÓN.">'Seguridad Información'!$K$45:$K$57</definedName>
    <definedName name="_15._RELACIONES_CON_SUMINISTRADORES.">'Seguridad Información'!$L$45:$L$49</definedName>
    <definedName name="_16._GESTIÓN_DE_INCIDENTES_EN_LA_SEGURIDAD_DE_LA_INFORMACIÓN.">'Seguridad Información'!$M$45:$M$51</definedName>
    <definedName name="_17._ASPECTOS_DE_SEGURIDAD_DE_LA_INFORMACION_EN_LA_GESTIÓN_DE_LA_CONTINUIDAD_DEL_NEGOCIO.">'Seguridad Información'!$N$45:$N$48</definedName>
    <definedName name="_18._CUMPLIMIENTO.">'Seguridad Información'!$O$45:$O$52</definedName>
    <definedName name="_5._POLÍTICAS_DE_SEGURIDAD.">'Seguridad Información'!$B$45:$B$46</definedName>
    <definedName name="_6._ASPECTOS_ORGANIZATIVOS_DE_LA_SEGURIDAD_DE_LA_INFORMAC.">'Seguridad Información'!$C$45:$C$51</definedName>
    <definedName name="_7._SEGURIDAD_LIGADA_A_LOS_RECURSOS_HUMANOS.">'Seguridad Información'!$D$45:$D$50</definedName>
    <definedName name="_8._GESTIÓN_DE_ACTIVOS.">'Seguridad Información'!$E$45:$E$53</definedName>
    <definedName name="_9._CONTROL_DE_ACCESOS.">'Seguridad Información'!$F$45:$F$58</definedName>
    <definedName name="_xlnm._FilterDatabase" localSheetId="3" hidden="1">'Matriz Riesgos Corrupción'!$B$6:$BK$6</definedName>
    <definedName name="_xlnm._FilterDatabase" localSheetId="1" hidden="1">'Matriz Riesgos Gestión'!$A$6:$AU$332</definedName>
    <definedName name="_xlnm._FilterDatabase" localSheetId="4" hidden="1">'Matriz Riesgos Seg. Información'!$B$6:$BI$6</definedName>
    <definedName name="_xlnm.Print_Area" localSheetId="3">'Matriz Riesgos Corrupción'!$A$1:$BK$13</definedName>
    <definedName name="_xlnm.Print_Area" localSheetId="1">'Matriz Riesgos Gestión'!$A$1:$AU$13</definedName>
    <definedName name="_xlnm.Print_Area" localSheetId="4">'Matriz Riesgos Seg. Información'!$A$1:$BI$13</definedName>
    <definedName name="CD">'Seguridad Información'!$H$3</definedName>
    <definedName name="CI">'Seguridad Información'!$I$3:$I$5</definedName>
    <definedName name="CID">'Seguridad Información'!$J$3:$J$10</definedName>
    <definedName name="Confidencialidad">'Seguridad Información'!$G$3:$G$9</definedName>
    <definedName name="CONFIDENCIALIDAD.">'Seguridad Información'!$B$20:$B$32</definedName>
    <definedName name="CONFIDENCIALIDAD_">'Seguridad Información'!$B$14:$B$16</definedName>
    <definedName name="Confidencialidad_Disponibilidad">'Seguridad Información'!$H$3</definedName>
    <definedName name="CONFIDENCIALIDAD_DISPONIBILIDAD.">'Seguridad Información'!$F$20</definedName>
    <definedName name="CONFIDENCIALIDAD_DISPONIBILIDAD_">'Seguridad Información'!$F$14</definedName>
    <definedName name="Confidencialidad_integridad">'Seguridad Información'!$I$3:$I$5</definedName>
    <definedName name="CONFIDENCIALIDAD_INTEGRIDAD.">'Seguridad Información'!$E$20:$E$32</definedName>
    <definedName name="CONFIDENCIALIDAD_INTEGRIDAD_">'Seguridad Información'!$E$14</definedName>
    <definedName name="Confidencialidad_Integridad_Disponibilidad">'Seguridad Información'!$J$3:$J$10</definedName>
    <definedName name="CONFIDENCIALIDAD_INTEGRIDAD_DISPONIBILIDAD.">'Seguridad Información'!$H$20:$H$41</definedName>
    <definedName name="CONFIDENCIALIDAD_INTEGRIDAD_DISPONIBILIDAD_">'Seguridad Información'!$H$14:$H$17</definedName>
    <definedName name="Control_Existente">[1]Hoja4!$H$3:$H$4</definedName>
    <definedName name="Disponibilidad">'Seguridad Información'!$K$3:$K$18</definedName>
    <definedName name="DISPONIBILIDAD.">'Seguridad Información'!$D$20:$D$33</definedName>
    <definedName name="DISPONIBILIDAD_">'Seguridad Información'!$D$14:$D$16</definedName>
    <definedName name="Impacto">[1]Hoja4!$F$3:$F$7</definedName>
    <definedName name="Integridad">'Seguridad Información'!$M$3:$M$6</definedName>
    <definedName name="INTEGRIDAD.">'Seguridad Información'!$C$20:$C$24</definedName>
    <definedName name="INTEGRIDAD_">'Seguridad Información'!$C$14</definedName>
    <definedName name="Integridad_Disponibilidad">'Seguridad Información'!$L$3:$L$8</definedName>
    <definedName name="INTEGRIDAD_DISPONIBILIDAD.">'Seguridad Información'!$G$20:$G$25</definedName>
    <definedName name="INTEGRIDAD_DISPONIBILIDAD_">'Seguridad Información'!$G$14</definedName>
    <definedName name="Probabilidad">[1]Hoja4!$E$3:$E$7</definedName>
    <definedName name="TIPO">'[2]Base de Datos'!$A$4:$A$8</definedName>
    <definedName name="Tipo_de_Riesgo">[1]Hoja4!$D$3:$D$9</definedName>
    <definedName name="_xlnm.Print_Titles" localSheetId="3">'Matriz Riesgos Corrupción'!$1:$6</definedName>
    <definedName name="_xlnm.Print_Titles" localSheetId="1">'Matriz Riesgos Gestión'!$1:$6</definedName>
    <definedName name="_xlnm.Print_Titles" localSheetId="4">'Matriz Riesgos Seg. Información'!$1:$6</definedName>
    <definedName name="Z_795C8354_6623_430F_B16F_866AD45BC174_.wvu.FilterData" localSheetId="3" hidden="1">'Matriz Riesgos Corrupción'!$B$6:$BK$6</definedName>
    <definedName name="Z_795C8354_6623_430F_B16F_866AD45BC174_.wvu.FilterData" localSheetId="1" hidden="1">'Matriz Riesgos Gestión'!$B$6:$AU$6</definedName>
    <definedName name="Z_795C8354_6623_430F_B16F_866AD45BC174_.wvu.FilterData" localSheetId="4" hidden="1">'Matriz Riesgos Seg. Información'!$B$6:$BI$6</definedName>
    <definedName name="Z_795C8354_6623_430F_B16F_866AD45BC174_.wvu.PrintArea" localSheetId="3" hidden="1">'Matriz Riesgos Corrupción'!$A$1:$BK$13</definedName>
    <definedName name="Z_795C8354_6623_430F_B16F_866AD45BC174_.wvu.PrintArea" localSheetId="1" hidden="1">'Matriz Riesgos Gestión'!$A$1:$AU$13</definedName>
    <definedName name="Z_795C8354_6623_430F_B16F_866AD45BC174_.wvu.PrintArea" localSheetId="4" hidden="1">'Matriz Riesgos Seg. Información'!$A$1:$BI$13</definedName>
    <definedName name="Z_795C8354_6623_430F_B16F_866AD45BC174_.wvu.PrintTitles" localSheetId="3" hidden="1">'Matriz Riesgos Corrupción'!$1:$6</definedName>
    <definedName name="Z_795C8354_6623_430F_B16F_866AD45BC174_.wvu.PrintTitles" localSheetId="1" hidden="1">'Matriz Riesgos Gestión'!$1:$6</definedName>
    <definedName name="Z_795C8354_6623_430F_B16F_866AD45BC174_.wvu.PrintTitles" localSheetId="4" hidden="1">'Matriz Riesgos Seg. Información'!$1:$6</definedName>
    <definedName name="Z_82BC0C9B_70E2_44EC_8408_64CC9B36E280_.wvu.FilterData" localSheetId="3" hidden="1">'Matriz Riesgos Corrupción'!$B$6:$BK$6</definedName>
    <definedName name="Z_82BC0C9B_70E2_44EC_8408_64CC9B36E280_.wvu.FilterData" localSheetId="1" hidden="1">'Matriz Riesgos Gestión'!$B$6:$AU$6</definedName>
    <definedName name="Z_82BC0C9B_70E2_44EC_8408_64CC9B36E280_.wvu.FilterData" localSheetId="4" hidden="1">'Matriz Riesgos Seg. Información'!$B$6:$BI$6</definedName>
    <definedName name="Z_82BC0C9B_70E2_44EC_8408_64CC9B36E280_.wvu.PrintArea" localSheetId="3" hidden="1">'Matriz Riesgos Corrupción'!$A$1:$BK$13</definedName>
    <definedName name="Z_82BC0C9B_70E2_44EC_8408_64CC9B36E280_.wvu.PrintArea" localSheetId="1" hidden="1">'Matriz Riesgos Gestión'!$A$1:$AU$13</definedName>
    <definedName name="Z_82BC0C9B_70E2_44EC_8408_64CC9B36E280_.wvu.PrintArea" localSheetId="4" hidden="1">'Matriz Riesgos Seg. Información'!$A$1:$BI$13</definedName>
    <definedName name="Z_82BC0C9B_70E2_44EC_8408_64CC9B36E280_.wvu.PrintTitles" localSheetId="3" hidden="1">'Matriz Riesgos Corrupción'!$1:$6</definedName>
    <definedName name="Z_82BC0C9B_70E2_44EC_8408_64CC9B36E280_.wvu.PrintTitles" localSheetId="1" hidden="1">'Matriz Riesgos Gestión'!$1:$6</definedName>
    <definedName name="Z_82BC0C9B_70E2_44EC_8408_64CC9B36E280_.wvu.PrintTitles" localSheetId="4" hidden="1">'Matriz Riesgos Seg. Información'!$1:$6</definedName>
    <definedName name="Z_F8FDF2EC_A9AD_41AC_8138_AA3657B53E6D_.wvu.FilterData" localSheetId="3" hidden="1">'Matriz Riesgos Corrupción'!$B$6:$BK$6</definedName>
    <definedName name="Z_F8FDF2EC_A9AD_41AC_8138_AA3657B53E6D_.wvu.FilterData" localSheetId="1" hidden="1">'Matriz Riesgos Gestión'!$B$6:$AU$6</definedName>
    <definedName name="Z_F8FDF2EC_A9AD_41AC_8138_AA3657B53E6D_.wvu.FilterData" localSheetId="4" hidden="1">'Matriz Riesgos Seg. Información'!$B$6:$BI$6</definedName>
    <definedName name="Z_F8FDF2EC_A9AD_41AC_8138_AA3657B53E6D_.wvu.PrintArea" localSheetId="3" hidden="1">'Matriz Riesgos Corrupción'!$A$1:$BK$13</definedName>
    <definedName name="Z_F8FDF2EC_A9AD_41AC_8138_AA3657B53E6D_.wvu.PrintArea" localSheetId="1" hidden="1">'Matriz Riesgos Gestión'!$A$1:$AU$13</definedName>
    <definedName name="Z_F8FDF2EC_A9AD_41AC_8138_AA3657B53E6D_.wvu.PrintArea" localSheetId="4" hidden="1">'Matriz Riesgos Seg. Información'!$A$1:$BI$13</definedName>
    <definedName name="Z_F8FDF2EC_A9AD_41AC_8138_AA3657B53E6D_.wvu.PrintTitles" localSheetId="3" hidden="1">'Matriz Riesgos Corrupción'!$1:$6</definedName>
    <definedName name="Z_F8FDF2EC_A9AD_41AC_8138_AA3657B53E6D_.wvu.PrintTitles" localSheetId="1" hidden="1">'Matriz Riesgos Gestión'!$1:$6</definedName>
    <definedName name="Z_F8FDF2EC_A9AD_41AC_8138_AA3657B53E6D_.wvu.PrintTitles" localSheetId="4" hidden="1">'Matriz Riesgos Seg. Información'!$1:$6</definedName>
  </definedNames>
  <calcPr calcId="191029"/>
  <customWorkbookViews>
    <customWorkbookView name="LUCY MARGARITA OSORIO MASTRODOMÉNICO - Vista personalizada" guid="{82BC0C9B-70E2-44EC-8408-64CC9B36E280}" mergeInterval="0" personalView="1" maximized="1" xWindow="-8" yWindow="-8" windowWidth="1616" windowHeight="876" tabRatio="859" activeSheetId="1"/>
    <customWorkbookView name="MAURICIO ORDOÑEZ GUTIERREZ - Vista personalizada" guid="{795C8354-6623-430F-B16F-866AD45BC174}" mergeInterval="0" personalView="1" maximized="1" xWindow="-8" yWindow="-8" windowWidth="1616" windowHeight="876" tabRatio="859" activeSheetId="1"/>
    <customWorkbookView name="DIEGO ORLANDO BUSTOS FORERO - Vista personalizada" guid="{F8FDF2EC-A9AD-41AC-8138-AA3657B53E6D}" mergeInterval="0" personalView="1" maximized="1" xWindow="-8" yWindow="-8" windowWidth="1936" windowHeight="1056" tabRatio="859"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17" l="1"/>
  <c r="F9" i="17"/>
  <c r="F7" i="17"/>
  <c r="E7" i="17"/>
  <c r="E6" i="17"/>
  <c r="C37" i="10" l="1"/>
  <c r="AC213" i="10"/>
  <c r="AA213" i="10"/>
  <c r="Y213" i="10"/>
  <c r="W213" i="10"/>
  <c r="U213" i="10"/>
  <c r="S213" i="10"/>
  <c r="AC198" i="10"/>
  <c r="AA198" i="10"/>
  <c r="Y198" i="10"/>
  <c r="W198" i="10"/>
  <c r="U198" i="10"/>
  <c r="S198" i="10"/>
  <c r="AU331" i="10" l="1"/>
  <c r="AU332" i="10"/>
  <c r="AU330" i="10"/>
  <c r="AI332" i="10"/>
  <c r="AM332" i="10"/>
  <c r="AI331" i="10"/>
  <c r="AM331" i="10"/>
  <c r="AN332" i="10" s="1"/>
  <c r="AC332" i="10"/>
  <c r="AA332" i="10"/>
  <c r="AC331" i="10"/>
  <c r="AA331" i="10"/>
  <c r="AF331" i="10" s="1"/>
  <c r="AG331" i="10" s="1"/>
  <c r="K332" i="10"/>
  <c r="M332" i="10"/>
  <c r="N332" i="10"/>
  <c r="K331" i="10"/>
  <c r="M331" i="10"/>
  <c r="AQ332" i="10" s="1"/>
  <c r="N331" i="10"/>
  <c r="C332" i="10"/>
  <c r="C331" i="10"/>
  <c r="AJ331" i="10" l="1"/>
  <c r="AK331" i="10" s="1"/>
  <c r="AF332" i="10"/>
  <c r="AG332" i="10" s="1"/>
  <c r="AJ332" i="10" s="1"/>
  <c r="AK332" i="10" s="1"/>
  <c r="AP332" i="10"/>
  <c r="AC75" i="10"/>
  <c r="AA75" i="10"/>
  <c r="W75" i="10"/>
  <c r="U75" i="10"/>
  <c r="S75" i="10"/>
  <c r="AN330" i="10" l="1"/>
  <c r="AP330" i="10" s="1"/>
  <c r="AQ330" i="10"/>
  <c r="AM330" i="10"/>
  <c r="AN331" i="10" s="1"/>
  <c r="AI330" i="10"/>
  <c r="AC330" i="10"/>
  <c r="AA330" i="10"/>
  <c r="K330" i="10"/>
  <c r="M330" i="10"/>
  <c r="AQ331" i="10" s="1"/>
  <c r="N330" i="10"/>
  <c r="C330" i="10"/>
  <c r="AF330" i="10" l="1"/>
  <c r="AG330" i="10" s="1"/>
  <c r="AJ330" i="10" s="1"/>
  <c r="AK330" i="10" s="1"/>
  <c r="AP331" i="10"/>
  <c r="AI329" i="10"/>
  <c r="AE329" i="10"/>
  <c r="AC329" i="10"/>
  <c r="AA329" i="10"/>
  <c r="Y329" i="10"/>
  <c r="W329" i="10"/>
  <c r="U329" i="10"/>
  <c r="S329" i="10"/>
  <c r="AI328" i="10"/>
  <c r="AE328" i="10"/>
  <c r="AC328" i="10"/>
  <c r="AA328" i="10"/>
  <c r="Y328" i="10"/>
  <c r="W328" i="10"/>
  <c r="U328" i="10"/>
  <c r="S328" i="10"/>
  <c r="N328" i="10"/>
  <c r="M328" i="10"/>
  <c r="AQ329" i="10" s="1"/>
  <c r="K328" i="10"/>
  <c r="AF328" i="10" l="1"/>
  <c r="AG328" i="10" s="1"/>
  <c r="AJ328" i="10" s="1"/>
  <c r="AK328" i="10" s="1"/>
  <c r="AF329" i="10"/>
  <c r="AG329" i="10" s="1"/>
  <c r="AJ329" i="10" s="1"/>
  <c r="AK329" i="10" s="1"/>
  <c r="AQ328" i="10"/>
  <c r="AL328" i="10" l="1"/>
  <c r="AM328" i="10" s="1"/>
  <c r="AN329" i="10" s="1"/>
  <c r="AP329" i="10" s="1"/>
  <c r="AC197" i="10"/>
  <c r="AA197" i="10"/>
  <c r="Y197" i="10"/>
  <c r="W197" i="10"/>
  <c r="U197" i="10"/>
  <c r="S197" i="10"/>
  <c r="AN328" i="10" l="1"/>
  <c r="AP328" i="10" s="1"/>
  <c r="AC14" i="10"/>
  <c r="AA14" i="10"/>
  <c r="Y14" i="10"/>
  <c r="W14" i="10"/>
  <c r="U14" i="10"/>
  <c r="S14" i="10"/>
  <c r="AC13" i="10"/>
  <c r="AA13" i="10"/>
  <c r="Y13" i="10"/>
  <c r="W13" i="10"/>
  <c r="U13" i="10"/>
  <c r="S13" i="10"/>
  <c r="AA100" i="10" l="1"/>
  <c r="Y100" i="10"/>
  <c r="W100" i="10"/>
  <c r="U100" i="10"/>
  <c r="S100" i="10"/>
  <c r="AC287" i="10"/>
  <c r="AA287" i="10"/>
  <c r="Y287" i="10"/>
  <c r="W287" i="10"/>
  <c r="U287" i="10"/>
  <c r="S287" i="10"/>
  <c r="AC286" i="10"/>
  <c r="AA286" i="10"/>
  <c r="Y286" i="10"/>
  <c r="W286" i="10"/>
  <c r="U286" i="10"/>
  <c r="S286" i="10"/>
  <c r="AC320" i="10" l="1"/>
  <c r="AA320" i="10"/>
  <c r="Y320" i="10"/>
  <c r="W320" i="10"/>
  <c r="U320" i="10"/>
  <c r="S320" i="10"/>
  <c r="S322" i="10" l="1"/>
  <c r="U322" i="10"/>
  <c r="W322" i="10"/>
  <c r="Y322" i="10"/>
  <c r="AA322" i="10"/>
  <c r="AC322" i="10"/>
  <c r="AE322" i="10"/>
  <c r="AI322" i="10"/>
  <c r="S323" i="10"/>
  <c r="U323" i="10"/>
  <c r="W323" i="10"/>
  <c r="Y323" i="10"/>
  <c r="AA323" i="10"/>
  <c r="AC323" i="10"/>
  <c r="AE323" i="10"/>
  <c r="AI323" i="10"/>
  <c r="S324" i="10"/>
  <c r="U324" i="10"/>
  <c r="W324" i="10"/>
  <c r="Y324" i="10"/>
  <c r="AA324" i="10"/>
  <c r="AC324" i="10"/>
  <c r="AE324" i="10"/>
  <c r="AI324" i="10"/>
  <c r="AF322" i="10" l="1"/>
  <c r="AG322" i="10" s="1"/>
  <c r="AJ322" i="10" s="1"/>
  <c r="AK322" i="10" s="1"/>
  <c r="AF324" i="10"/>
  <c r="AG324" i="10" s="1"/>
  <c r="AJ324" i="10" s="1"/>
  <c r="AK324" i="10" s="1"/>
  <c r="AF323" i="10"/>
  <c r="AG323" i="10" s="1"/>
  <c r="AJ323" i="10" s="1"/>
  <c r="AK323" i="10" s="1"/>
  <c r="S10" i="10"/>
  <c r="U10" i="10"/>
  <c r="W10" i="10"/>
  <c r="Y10" i="10"/>
  <c r="AA10" i="10"/>
  <c r="AC10" i="10"/>
  <c r="AE10" i="10"/>
  <c r="S11" i="10"/>
  <c r="U11" i="10"/>
  <c r="W11" i="10"/>
  <c r="Y11" i="10"/>
  <c r="AA11" i="10"/>
  <c r="AC11" i="10"/>
  <c r="AE11" i="10"/>
  <c r="S12" i="10"/>
  <c r="U12" i="10"/>
  <c r="W12" i="10"/>
  <c r="Y12" i="10"/>
  <c r="AA12" i="10"/>
  <c r="AC12" i="10"/>
  <c r="AE12" i="10"/>
  <c r="S319" i="10"/>
  <c r="U319" i="10"/>
  <c r="W319" i="10"/>
  <c r="Y319" i="10"/>
  <c r="AA319" i="10"/>
  <c r="AC319" i="10"/>
  <c r="AF10" i="10" l="1"/>
  <c r="AG10" i="10" s="1"/>
  <c r="AF12" i="10"/>
  <c r="AG12" i="10" s="1"/>
  <c r="AF11" i="10"/>
  <c r="AG11" i="10" s="1"/>
  <c r="AE13" i="10"/>
  <c r="AC146" i="10" l="1"/>
  <c r="AA146" i="10"/>
  <c r="Y146" i="10"/>
  <c r="W146" i="10"/>
  <c r="U146" i="10"/>
  <c r="S146" i="10"/>
  <c r="C115" i="10" l="1"/>
  <c r="Y160" i="10" l="1"/>
  <c r="Y159" i="10"/>
  <c r="K97" i="10" l="1"/>
  <c r="K91" i="10"/>
  <c r="AC87" i="10" l="1"/>
  <c r="AA87" i="10"/>
  <c r="Y87" i="10"/>
  <c r="W87" i="10"/>
  <c r="U87" i="10"/>
  <c r="S87" i="10"/>
  <c r="AC296" i="10"/>
  <c r="AA296" i="10"/>
  <c r="Y296" i="10"/>
  <c r="W296" i="10"/>
  <c r="U296" i="10"/>
  <c r="S296" i="10"/>
  <c r="AC295" i="10"/>
  <c r="AA295" i="10"/>
  <c r="Y295" i="10"/>
  <c r="W295" i="10"/>
  <c r="U295" i="10"/>
  <c r="S295" i="10"/>
  <c r="AC290" i="10"/>
  <c r="AA290" i="10"/>
  <c r="Y290" i="10"/>
  <c r="W290" i="10"/>
  <c r="U290" i="10"/>
  <c r="S290" i="10"/>
  <c r="AC289" i="10"/>
  <c r="AA289" i="10"/>
  <c r="Y289" i="10"/>
  <c r="W289" i="10"/>
  <c r="U289" i="10"/>
  <c r="S289" i="10"/>
  <c r="AC285" i="10"/>
  <c r="AA285" i="10"/>
  <c r="Y285" i="10"/>
  <c r="W285" i="10"/>
  <c r="U285" i="10"/>
  <c r="S285" i="10"/>
  <c r="AC284" i="10"/>
  <c r="AA284" i="10"/>
  <c r="Y284" i="10"/>
  <c r="W284" i="10"/>
  <c r="U284" i="10"/>
  <c r="S284" i="10"/>
  <c r="AC283" i="10"/>
  <c r="AA283" i="10"/>
  <c r="Y283" i="10"/>
  <c r="W283" i="10"/>
  <c r="U283" i="10"/>
  <c r="S283" i="10"/>
  <c r="AC279" i="10"/>
  <c r="AA279" i="10"/>
  <c r="Y279" i="10"/>
  <c r="W279" i="10"/>
  <c r="U279" i="10"/>
  <c r="S279" i="10"/>
  <c r="AC278" i="10"/>
  <c r="AA278" i="10"/>
  <c r="Y278" i="10"/>
  <c r="W278" i="10"/>
  <c r="U278" i="10"/>
  <c r="S278" i="10"/>
  <c r="AC277" i="10"/>
  <c r="AA277" i="10"/>
  <c r="Y277" i="10"/>
  <c r="W277" i="10"/>
  <c r="U277" i="10"/>
  <c r="S277" i="10"/>
  <c r="AC272" i="10"/>
  <c r="AA272" i="10"/>
  <c r="Y272" i="10"/>
  <c r="W272" i="10"/>
  <c r="U272" i="10"/>
  <c r="S272" i="10"/>
  <c r="AC271" i="10"/>
  <c r="AA271" i="10"/>
  <c r="Y271" i="10"/>
  <c r="W271" i="10"/>
  <c r="U271" i="10"/>
  <c r="S271" i="10"/>
  <c r="AC265" i="10"/>
  <c r="AA265" i="10"/>
  <c r="Y265" i="10"/>
  <c r="W265" i="10"/>
  <c r="U265" i="10"/>
  <c r="S265" i="10"/>
  <c r="AC261" i="10"/>
  <c r="AA261" i="10"/>
  <c r="Y261" i="10"/>
  <c r="W261" i="10"/>
  <c r="U261" i="10"/>
  <c r="S261" i="10"/>
  <c r="AC260" i="10"/>
  <c r="AA260" i="10"/>
  <c r="Y260" i="10"/>
  <c r="W260" i="10"/>
  <c r="U260" i="10"/>
  <c r="S260" i="10"/>
  <c r="AC259" i="10"/>
  <c r="AA259" i="10"/>
  <c r="Y259" i="10"/>
  <c r="W259" i="10"/>
  <c r="U259" i="10"/>
  <c r="S259" i="10"/>
  <c r="AC254" i="10"/>
  <c r="AA254" i="10"/>
  <c r="Y254" i="10"/>
  <c r="W254" i="10"/>
  <c r="U254" i="10"/>
  <c r="S254" i="10"/>
  <c r="AC253" i="10"/>
  <c r="AA253" i="10"/>
  <c r="Y253" i="10"/>
  <c r="W253" i="10"/>
  <c r="U253" i="10"/>
  <c r="S253" i="10"/>
  <c r="AC248" i="10"/>
  <c r="AA248" i="10"/>
  <c r="Y248" i="10"/>
  <c r="W248" i="10"/>
  <c r="U248" i="10"/>
  <c r="S248" i="10"/>
  <c r="AC247" i="10"/>
  <c r="AA247" i="10"/>
  <c r="Y247" i="10"/>
  <c r="W247" i="10"/>
  <c r="U247" i="10"/>
  <c r="S247" i="10"/>
  <c r="AC243" i="10"/>
  <c r="AA243" i="10"/>
  <c r="Y243" i="10"/>
  <c r="W243" i="10"/>
  <c r="U243" i="10"/>
  <c r="S243" i="10"/>
  <c r="AC242" i="10"/>
  <c r="AA242" i="10"/>
  <c r="Y242" i="10"/>
  <c r="W242" i="10"/>
  <c r="U242" i="10"/>
  <c r="S242" i="10"/>
  <c r="AC241" i="10"/>
  <c r="AA241" i="10"/>
  <c r="Y241" i="10"/>
  <c r="W241" i="10"/>
  <c r="U241" i="10"/>
  <c r="S241" i="10"/>
  <c r="AC238" i="10"/>
  <c r="AA238" i="10"/>
  <c r="Y238" i="10"/>
  <c r="W238" i="10"/>
  <c r="U238" i="10"/>
  <c r="S238" i="10"/>
  <c r="AC237" i="10"/>
  <c r="AA237" i="10"/>
  <c r="Y237" i="10"/>
  <c r="W237" i="10"/>
  <c r="U237" i="10"/>
  <c r="S237" i="10"/>
  <c r="AC236" i="10"/>
  <c r="AA236" i="10"/>
  <c r="Y236" i="10"/>
  <c r="W236" i="10"/>
  <c r="U236" i="10"/>
  <c r="S236" i="10"/>
  <c r="AC235" i="10"/>
  <c r="AA235" i="10"/>
  <c r="Y235" i="10"/>
  <c r="W235" i="10"/>
  <c r="U235" i="10"/>
  <c r="S235" i="10"/>
  <c r="AC232" i="10"/>
  <c r="AA232" i="10"/>
  <c r="Y232" i="10"/>
  <c r="W232" i="10"/>
  <c r="U232" i="10"/>
  <c r="S232" i="10"/>
  <c r="AC231" i="10"/>
  <c r="AA231" i="10"/>
  <c r="Y231" i="10"/>
  <c r="W231" i="10"/>
  <c r="U231" i="10"/>
  <c r="S231" i="10"/>
  <c r="AC230" i="10"/>
  <c r="AA230" i="10"/>
  <c r="Y230" i="10"/>
  <c r="W230" i="10"/>
  <c r="U230" i="10"/>
  <c r="S230" i="10"/>
  <c r="AC229" i="10"/>
  <c r="AA229" i="10"/>
  <c r="Y229" i="10"/>
  <c r="W229" i="10"/>
  <c r="U229" i="10"/>
  <c r="S229" i="10"/>
  <c r="AC224" i="10"/>
  <c r="AA224" i="10"/>
  <c r="Y224" i="10"/>
  <c r="W224" i="10"/>
  <c r="U224" i="10"/>
  <c r="S224" i="10"/>
  <c r="AC223" i="10"/>
  <c r="AA223" i="10"/>
  <c r="Y223" i="10"/>
  <c r="W223" i="10"/>
  <c r="U223" i="10"/>
  <c r="S223" i="10"/>
  <c r="AC218" i="10"/>
  <c r="AA218" i="10"/>
  <c r="Y218" i="10"/>
  <c r="W218" i="10"/>
  <c r="U218" i="10"/>
  <c r="S218" i="10"/>
  <c r="AC217" i="10"/>
  <c r="AA217" i="10"/>
  <c r="Y217" i="10"/>
  <c r="W217" i="10"/>
  <c r="U217" i="10"/>
  <c r="S217" i="10"/>
  <c r="AC212" i="10"/>
  <c r="AA212" i="10"/>
  <c r="Y212" i="10"/>
  <c r="W212" i="10"/>
  <c r="U212" i="10"/>
  <c r="S212" i="10"/>
  <c r="AC211" i="10"/>
  <c r="AA211" i="10"/>
  <c r="Y211" i="10"/>
  <c r="W211" i="10"/>
  <c r="U211" i="10"/>
  <c r="S211" i="10"/>
  <c r="AC208" i="10"/>
  <c r="AA208" i="10"/>
  <c r="Y208" i="10"/>
  <c r="W208" i="10"/>
  <c r="U208" i="10"/>
  <c r="S208" i="10"/>
  <c r="AC207" i="10"/>
  <c r="AA207" i="10"/>
  <c r="Y207" i="10"/>
  <c r="W207" i="10"/>
  <c r="U207" i="10"/>
  <c r="S207" i="10"/>
  <c r="AC206" i="10"/>
  <c r="AA206" i="10"/>
  <c r="Y206" i="10"/>
  <c r="W206" i="10"/>
  <c r="U206" i="10"/>
  <c r="S206" i="10"/>
  <c r="AC205" i="10"/>
  <c r="AA205" i="10"/>
  <c r="Y205" i="10"/>
  <c r="W205" i="10"/>
  <c r="U205" i="10"/>
  <c r="S205" i="10"/>
  <c r="AC199" i="10"/>
  <c r="AA199" i="10"/>
  <c r="Y199" i="10"/>
  <c r="W199" i="10"/>
  <c r="U199" i="10"/>
  <c r="S199" i="10"/>
  <c r="AC196" i="10"/>
  <c r="AA196" i="10"/>
  <c r="Y196" i="10"/>
  <c r="W196" i="10"/>
  <c r="U196" i="10"/>
  <c r="S196" i="10"/>
  <c r="AC195" i="10"/>
  <c r="AA195" i="10"/>
  <c r="Y195" i="10"/>
  <c r="W195" i="10"/>
  <c r="U195" i="10"/>
  <c r="S195" i="10"/>
  <c r="AC194" i="10"/>
  <c r="AA194" i="10"/>
  <c r="Y194" i="10"/>
  <c r="W194" i="10"/>
  <c r="U194" i="10"/>
  <c r="S194" i="10"/>
  <c r="AC193" i="10"/>
  <c r="AA193" i="10"/>
  <c r="Y193" i="10"/>
  <c r="W193" i="10"/>
  <c r="U193" i="10"/>
  <c r="S193" i="10"/>
  <c r="AC190" i="10"/>
  <c r="AA190" i="10"/>
  <c r="Y190" i="10"/>
  <c r="W190" i="10"/>
  <c r="U190" i="10"/>
  <c r="S190" i="10"/>
  <c r="AC189" i="10"/>
  <c r="AA189" i="10"/>
  <c r="Y189" i="10"/>
  <c r="W189" i="10"/>
  <c r="U189" i="10"/>
  <c r="S189" i="10"/>
  <c r="AC188" i="10"/>
  <c r="AA188" i="10"/>
  <c r="Y188" i="10"/>
  <c r="W188" i="10"/>
  <c r="U188" i="10"/>
  <c r="S188" i="10"/>
  <c r="AC187" i="10"/>
  <c r="AA187" i="10"/>
  <c r="Y187" i="10"/>
  <c r="W187" i="10"/>
  <c r="U187" i="10"/>
  <c r="S187" i="10"/>
  <c r="AC181" i="10"/>
  <c r="AA181" i="10"/>
  <c r="Y181" i="10"/>
  <c r="W181" i="10"/>
  <c r="U181" i="10"/>
  <c r="S181" i="10"/>
  <c r="AC177" i="10"/>
  <c r="AA177" i="10"/>
  <c r="Y177" i="10"/>
  <c r="W177" i="10"/>
  <c r="U177" i="10"/>
  <c r="S177" i="10"/>
  <c r="AC176" i="10"/>
  <c r="AA176" i="10"/>
  <c r="Y176" i="10"/>
  <c r="W176" i="10"/>
  <c r="U176" i="10"/>
  <c r="S176" i="10"/>
  <c r="AC175" i="10"/>
  <c r="AA175" i="10"/>
  <c r="Y175" i="10"/>
  <c r="W175" i="10"/>
  <c r="U175" i="10"/>
  <c r="S175" i="10"/>
  <c r="AC170" i="10"/>
  <c r="AA170" i="10"/>
  <c r="Y170" i="10"/>
  <c r="W170" i="10"/>
  <c r="U170" i="10"/>
  <c r="S170" i="10"/>
  <c r="AC169" i="10"/>
  <c r="AA169" i="10"/>
  <c r="Y169" i="10"/>
  <c r="W169" i="10"/>
  <c r="U169" i="10"/>
  <c r="S169" i="10"/>
  <c r="AC164" i="10"/>
  <c r="AA164" i="10"/>
  <c r="Y164" i="10"/>
  <c r="W164" i="10"/>
  <c r="U164" i="10"/>
  <c r="S164" i="10"/>
  <c r="AC163" i="10"/>
  <c r="AA163" i="10"/>
  <c r="Y163" i="10"/>
  <c r="W163" i="10"/>
  <c r="U163" i="10"/>
  <c r="S163" i="10"/>
  <c r="AC158" i="10"/>
  <c r="AA158" i="10"/>
  <c r="Y158" i="10"/>
  <c r="W158" i="10"/>
  <c r="U158" i="10"/>
  <c r="S158" i="10"/>
  <c r="AC157" i="10"/>
  <c r="AA157" i="10"/>
  <c r="Y157" i="10"/>
  <c r="W157" i="10"/>
  <c r="U157" i="10"/>
  <c r="S157" i="10"/>
  <c r="AC152" i="10"/>
  <c r="AA152" i="10"/>
  <c r="Y152" i="10"/>
  <c r="W152" i="10"/>
  <c r="U152" i="10"/>
  <c r="S152" i="10"/>
  <c r="AC151" i="10"/>
  <c r="AA151" i="10"/>
  <c r="Y151" i="10"/>
  <c r="W151" i="10"/>
  <c r="U151" i="10"/>
  <c r="S151" i="10"/>
  <c r="AC145" i="10"/>
  <c r="AA145" i="10"/>
  <c r="Y145" i="10"/>
  <c r="W145" i="10"/>
  <c r="U145" i="10"/>
  <c r="S145" i="10"/>
  <c r="AC141" i="10"/>
  <c r="AA141" i="10"/>
  <c r="Y141" i="10"/>
  <c r="W141" i="10"/>
  <c r="U141" i="10"/>
  <c r="S141" i="10"/>
  <c r="AC140" i="10"/>
  <c r="AA140" i="10"/>
  <c r="Y140" i="10"/>
  <c r="W140" i="10"/>
  <c r="U140" i="10"/>
  <c r="S140" i="10"/>
  <c r="AC139" i="10"/>
  <c r="AA139" i="10"/>
  <c r="Y139" i="10"/>
  <c r="W139" i="10"/>
  <c r="U139" i="10"/>
  <c r="S139" i="10"/>
  <c r="AC134" i="10"/>
  <c r="AA134" i="10"/>
  <c r="Y134" i="10"/>
  <c r="W134" i="10"/>
  <c r="U134" i="10"/>
  <c r="S134" i="10"/>
  <c r="AC133" i="10"/>
  <c r="AA133" i="10"/>
  <c r="Y133" i="10"/>
  <c r="W133" i="10"/>
  <c r="U133" i="10"/>
  <c r="S133" i="10"/>
  <c r="AC130" i="10"/>
  <c r="AA130" i="10"/>
  <c r="Y130" i="10"/>
  <c r="W130" i="10"/>
  <c r="U130" i="10"/>
  <c r="S130" i="10"/>
  <c r="AC129" i="10"/>
  <c r="AA129" i="10"/>
  <c r="Y129" i="10"/>
  <c r="W129" i="10"/>
  <c r="U129" i="10"/>
  <c r="S129" i="10"/>
  <c r="AC128" i="10"/>
  <c r="AA128" i="10"/>
  <c r="Y128" i="10"/>
  <c r="W128" i="10"/>
  <c r="U128" i="10"/>
  <c r="S128" i="10"/>
  <c r="AC127" i="10"/>
  <c r="AA127" i="10"/>
  <c r="Y127" i="10"/>
  <c r="W127" i="10"/>
  <c r="U127" i="10"/>
  <c r="S127" i="10"/>
  <c r="AC123" i="10"/>
  <c r="AA123" i="10"/>
  <c r="Y123" i="10"/>
  <c r="W123" i="10"/>
  <c r="U123" i="10"/>
  <c r="S123" i="10"/>
  <c r="AC122" i="10"/>
  <c r="AA122" i="10"/>
  <c r="Y122" i="10"/>
  <c r="W122" i="10"/>
  <c r="U122" i="10"/>
  <c r="S122" i="10"/>
  <c r="AC121" i="10"/>
  <c r="AA121" i="10"/>
  <c r="Y121" i="10"/>
  <c r="W121" i="10"/>
  <c r="U121" i="10"/>
  <c r="S121" i="10"/>
  <c r="AC118" i="10"/>
  <c r="AA118" i="10"/>
  <c r="Y118" i="10"/>
  <c r="W118" i="10"/>
  <c r="U118" i="10"/>
  <c r="S118" i="10"/>
  <c r="AC117" i="10"/>
  <c r="AA117" i="10"/>
  <c r="Y117" i="10"/>
  <c r="W117" i="10"/>
  <c r="U117" i="10"/>
  <c r="S117" i="10"/>
  <c r="AC116" i="10"/>
  <c r="AA116" i="10"/>
  <c r="Y116" i="10"/>
  <c r="W116" i="10"/>
  <c r="U116" i="10"/>
  <c r="S116" i="10"/>
  <c r="AC115" i="10"/>
  <c r="AA115" i="10"/>
  <c r="Y115" i="10"/>
  <c r="W115" i="10"/>
  <c r="U115" i="10"/>
  <c r="S115" i="10"/>
  <c r="AC111" i="10"/>
  <c r="AA111" i="10"/>
  <c r="Y111" i="10"/>
  <c r="W111" i="10"/>
  <c r="U111" i="10"/>
  <c r="S111" i="10"/>
  <c r="AC110" i="10"/>
  <c r="AA110" i="10"/>
  <c r="Y110" i="10"/>
  <c r="W110" i="10"/>
  <c r="U110" i="10"/>
  <c r="S110" i="10"/>
  <c r="AC109" i="10"/>
  <c r="AA109" i="10"/>
  <c r="Y109" i="10"/>
  <c r="W109" i="10"/>
  <c r="U109" i="10"/>
  <c r="S109" i="10"/>
  <c r="AC105" i="10"/>
  <c r="AA105" i="10"/>
  <c r="Y105" i="10"/>
  <c r="W105" i="10"/>
  <c r="U105" i="10"/>
  <c r="S105" i="10"/>
  <c r="AC104" i="10"/>
  <c r="AA104" i="10"/>
  <c r="Y104" i="10"/>
  <c r="W104" i="10"/>
  <c r="U104" i="10"/>
  <c r="S104" i="10"/>
  <c r="AC103" i="10"/>
  <c r="AA103" i="10"/>
  <c r="Y103" i="10"/>
  <c r="W103" i="10"/>
  <c r="U103" i="10"/>
  <c r="S103" i="10"/>
  <c r="AC99" i="10"/>
  <c r="AA99" i="10"/>
  <c r="Y99" i="10"/>
  <c r="W99" i="10"/>
  <c r="U99" i="10"/>
  <c r="S99" i="10"/>
  <c r="AC98" i="10"/>
  <c r="AA98" i="10"/>
  <c r="Y98" i="10"/>
  <c r="W98" i="10"/>
  <c r="U98" i="10"/>
  <c r="S98" i="10"/>
  <c r="AC97" i="10"/>
  <c r="AA97" i="10"/>
  <c r="Y97" i="10"/>
  <c r="W97" i="10"/>
  <c r="U97" i="10"/>
  <c r="S97" i="10"/>
  <c r="AC93" i="10"/>
  <c r="AA93" i="10"/>
  <c r="Y93" i="10"/>
  <c r="W93" i="10"/>
  <c r="U93" i="10"/>
  <c r="S93" i="10"/>
  <c r="AC92" i="10"/>
  <c r="AA92" i="10"/>
  <c r="Y92" i="10"/>
  <c r="W92" i="10"/>
  <c r="U92" i="10"/>
  <c r="S92" i="10"/>
  <c r="AC91" i="10"/>
  <c r="AA91" i="10"/>
  <c r="Y91" i="10"/>
  <c r="W91" i="10"/>
  <c r="U91" i="10"/>
  <c r="S91" i="10"/>
  <c r="AC74" i="10"/>
  <c r="AA74" i="10"/>
  <c r="Y74" i="10"/>
  <c r="W74" i="10"/>
  <c r="U74" i="10"/>
  <c r="S74" i="10"/>
  <c r="AC73" i="10"/>
  <c r="AA73" i="10"/>
  <c r="Y73" i="10"/>
  <c r="W73" i="10"/>
  <c r="U73" i="10"/>
  <c r="S73" i="10"/>
  <c r="AC69" i="10"/>
  <c r="AA69" i="10"/>
  <c r="Y69" i="10"/>
  <c r="W69" i="10"/>
  <c r="U69" i="10"/>
  <c r="S69" i="10"/>
  <c r="AC68" i="10"/>
  <c r="AA68" i="10"/>
  <c r="Y68" i="10"/>
  <c r="W68" i="10"/>
  <c r="U68" i="10"/>
  <c r="S68" i="10"/>
  <c r="AC67" i="10"/>
  <c r="AA67" i="10"/>
  <c r="Y67" i="10"/>
  <c r="W67" i="10"/>
  <c r="U67" i="10"/>
  <c r="S67" i="10"/>
  <c r="AC64" i="10"/>
  <c r="AA64" i="10"/>
  <c r="Y64" i="10"/>
  <c r="W64" i="10"/>
  <c r="U64" i="10"/>
  <c r="S64" i="10"/>
  <c r="AC63" i="10"/>
  <c r="AA63" i="10"/>
  <c r="Y63" i="10"/>
  <c r="W63" i="10"/>
  <c r="U63" i="10"/>
  <c r="S63" i="10"/>
  <c r="AC62" i="10"/>
  <c r="AA62" i="10"/>
  <c r="Y62" i="10"/>
  <c r="W62" i="10"/>
  <c r="U62" i="10"/>
  <c r="S62" i="10"/>
  <c r="AC61" i="10"/>
  <c r="AA61" i="10"/>
  <c r="Y61" i="10"/>
  <c r="W61" i="10"/>
  <c r="U61" i="10"/>
  <c r="S61" i="10"/>
  <c r="AC60" i="10"/>
  <c r="AA60" i="10"/>
  <c r="Y60" i="10"/>
  <c r="W60" i="10"/>
  <c r="U60" i="10"/>
  <c r="S60" i="10"/>
  <c r="AC59" i="10"/>
  <c r="AA59" i="10"/>
  <c r="Y59" i="10"/>
  <c r="W59" i="10"/>
  <c r="U59" i="10"/>
  <c r="S59" i="10"/>
  <c r="AC58" i="10"/>
  <c r="AA58" i="10"/>
  <c r="Y58" i="10"/>
  <c r="W58" i="10"/>
  <c r="U58" i="10"/>
  <c r="S58" i="10"/>
  <c r="AC57" i="10"/>
  <c r="AA57" i="10"/>
  <c r="Y57" i="10"/>
  <c r="W57" i="10"/>
  <c r="U57" i="10"/>
  <c r="S57" i="10"/>
  <c r="AC56" i="10"/>
  <c r="AA56" i="10"/>
  <c r="Y56" i="10"/>
  <c r="W56" i="10"/>
  <c r="U56" i="10"/>
  <c r="S56" i="10"/>
  <c r="AC55" i="10"/>
  <c r="AA55" i="10"/>
  <c r="Y55" i="10"/>
  <c r="W55" i="10"/>
  <c r="U55" i="10"/>
  <c r="S55" i="10"/>
  <c r="AC50" i="10"/>
  <c r="AA50" i="10"/>
  <c r="Y50" i="10"/>
  <c r="W50" i="10"/>
  <c r="U50" i="10"/>
  <c r="S50" i="10"/>
  <c r="AC49" i="10"/>
  <c r="AA49" i="10"/>
  <c r="Y49" i="10"/>
  <c r="W49" i="10"/>
  <c r="U49" i="10"/>
  <c r="S49" i="10"/>
  <c r="AC46" i="10"/>
  <c r="AA46" i="10"/>
  <c r="Y46" i="10"/>
  <c r="W46" i="10"/>
  <c r="U46" i="10"/>
  <c r="S46" i="10"/>
  <c r="AC45" i="10"/>
  <c r="AA45" i="10"/>
  <c r="Y45" i="10"/>
  <c r="W45" i="10"/>
  <c r="U45" i="10"/>
  <c r="S45" i="10"/>
  <c r="AC44" i="10"/>
  <c r="AA44" i="10"/>
  <c r="Y44" i="10"/>
  <c r="W44" i="10"/>
  <c r="U44" i="10"/>
  <c r="S44" i="10"/>
  <c r="AC43" i="10"/>
  <c r="AA43" i="10"/>
  <c r="Y43" i="10"/>
  <c r="W43" i="10"/>
  <c r="U43" i="10"/>
  <c r="S43" i="10"/>
  <c r="AC41" i="10"/>
  <c r="AA41" i="10"/>
  <c r="Y41" i="10"/>
  <c r="W41" i="10"/>
  <c r="U41" i="10"/>
  <c r="S41" i="10"/>
  <c r="AC40" i="10"/>
  <c r="AA40" i="10"/>
  <c r="Y40" i="10"/>
  <c r="W40" i="10"/>
  <c r="U40" i="10"/>
  <c r="S40" i="10"/>
  <c r="AC39" i="10"/>
  <c r="AA39" i="10"/>
  <c r="Y39" i="10"/>
  <c r="W39" i="10"/>
  <c r="U39" i="10"/>
  <c r="S39" i="10"/>
  <c r="AC38" i="10"/>
  <c r="AA38" i="10"/>
  <c r="Y38" i="10"/>
  <c r="W38" i="10"/>
  <c r="U38" i="10"/>
  <c r="S38" i="10"/>
  <c r="AC37" i="10"/>
  <c r="AA37" i="10"/>
  <c r="Y37" i="10"/>
  <c r="W37" i="10"/>
  <c r="U37" i="10"/>
  <c r="S37" i="10"/>
  <c r="AC34" i="10"/>
  <c r="AA34" i="10"/>
  <c r="Y34" i="10"/>
  <c r="W34" i="10"/>
  <c r="U34" i="10"/>
  <c r="S34" i="10"/>
  <c r="AC33" i="10"/>
  <c r="AA33" i="10"/>
  <c r="Y33" i="10"/>
  <c r="W33" i="10"/>
  <c r="U33" i="10"/>
  <c r="S33" i="10"/>
  <c r="AC32" i="10"/>
  <c r="AA32" i="10"/>
  <c r="Y32" i="10"/>
  <c r="W32" i="10"/>
  <c r="U32" i="10"/>
  <c r="S32" i="10"/>
  <c r="AC31" i="10"/>
  <c r="AA31" i="10"/>
  <c r="Y31" i="10"/>
  <c r="W31" i="10"/>
  <c r="U31" i="10"/>
  <c r="S31" i="10"/>
  <c r="AC28" i="10"/>
  <c r="AA28" i="10"/>
  <c r="Y28" i="10"/>
  <c r="W28" i="10"/>
  <c r="U28" i="10"/>
  <c r="S28" i="10"/>
  <c r="AC27" i="10"/>
  <c r="AA27" i="10"/>
  <c r="Y27" i="10"/>
  <c r="W27" i="10"/>
  <c r="U27" i="10"/>
  <c r="S27" i="10"/>
  <c r="AC26" i="10"/>
  <c r="AA26" i="10"/>
  <c r="Y26" i="10"/>
  <c r="W26" i="10"/>
  <c r="U26" i="10"/>
  <c r="S26" i="10"/>
  <c r="AC25" i="10"/>
  <c r="AA25" i="10"/>
  <c r="Y25" i="10"/>
  <c r="W25" i="10"/>
  <c r="U25" i="10"/>
  <c r="S25" i="10"/>
  <c r="AC20" i="10"/>
  <c r="AA20" i="10"/>
  <c r="Y20" i="10"/>
  <c r="W20" i="10"/>
  <c r="U20" i="10"/>
  <c r="S20" i="10"/>
  <c r="AC19" i="10"/>
  <c r="AA19" i="10"/>
  <c r="Y19" i="10"/>
  <c r="W19" i="10"/>
  <c r="U19" i="10"/>
  <c r="S19" i="10"/>
  <c r="AU32" i="6" l="1"/>
  <c r="AS32" i="6"/>
  <c r="AQ32" i="6"/>
  <c r="AO32" i="6"/>
  <c r="AM32" i="6"/>
  <c r="AK32" i="6"/>
  <c r="AU31" i="6"/>
  <c r="AS31" i="6"/>
  <c r="AQ31" i="6"/>
  <c r="AO31" i="6"/>
  <c r="AM31" i="6"/>
  <c r="AK31" i="6"/>
  <c r="AA88" i="10"/>
  <c r="Y88" i="10"/>
  <c r="W88" i="10"/>
  <c r="U88" i="10"/>
  <c r="S88" i="10"/>
  <c r="AA86" i="10"/>
  <c r="Y86" i="10"/>
  <c r="W86" i="10"/>
  <c r="U86" i="10"/>
  <c r="S86" i="10"/>
  <c r="AA85" i="10"/>
  <c r="Y85" i="10"/>
  <c r="W85" i="10"/>
  <c r="U85" i="10"/>
  <c r="S85" i="10"/>
  <c r="AC81" i="10"/>
  <c r="AA81" i="10"/>
  <c r="Y81" i="10"/>
  <c r="W81" i="10"/>
  <c r="U81" i="10"/>
  <c r="S81" i="10"/>
  <c r="AC80" i="10"/>
  <c r="AA80" i="10"/>
  <c r="Y80" i="10"/>
  <c r="W80" i="10"/>
  <c r="U80" i="10"/>
  <c r="S80" i="10"/>
  <c r="AC79" i="10"/>
  <c r="AA79" i="10"/>
  <c r="Y79" i="10"/>
  <c r="W79" i="10"/>
  <c r="U79" i="10"/>
  <c r="S79" i="10"/>
  <c r="C79" i="6" l="1"/>
  <c r="C73" i="6"/>
  <c r="C67" i="6"/>
  <c r="C61" i="6"/>
  <c r="C55" i="6"/>
  <c r="C49" i="6"/>
  <c r="C43" i="6"/>
  <c r="AQ8" i="6" l="1"/>
  <c r="AQ9" i="6"/>
  <c r="AQ10" i="6"/>
  <c r="AQ11" i="6"/>
  <c r="AQ12" i="6"/>
  <c r="AQ13" i="6"/>
  <c r="AQ14" i="6"/>
  <c r="AQ15" i="6"/>
  <c r="AQ16" i="6"/>
  <c r="AQ17" i="6"/>
  <c r="AQ18" i="6"/>
  <c r="AQ19" i="6"/>
  <c r="AQ20" i="6"/>
  <c r="AQ21" i="6"/>
  <c r="AQ22" i="6"/>
  <c r="AQ23" i="6"/>
  <c r="AQ24" i="6"/>
  <c r="AQ25" i="6"/>
  <c r="AQ26" i="6"/>
  <c r="AQ27" i="6"/>
  <c r="AQ28" i="6"/>
  <c r="AQ29" i="6"/>
  <c r="AQ30" i="6"/>
  <c r="AQ34" i="6"/>
  <c r="AQ35" i="6"/>
  <c r="AQ36" i="6"/>
  <c r="AQ37" i="6"/>
  <c r="AQ38" i="6"/>
  <c r="AQ39" i="6"/>
  <c r="AQ40" i="6"/>
  <c r="AQ41" i="6"/>
  <c r="AQ42" i="6"/>
  <c r="AQ43" i="6"/>
  <c r="AQ44" i="6"/>
  <c r="AQ45" i="6"/>
  <c r="AQ46" i="6"/>
  <c r="AQ47" i="6"/>
  <c r="AQ48" i="6"/>
  <c r="AQ49" i="6"/>
  <c r="AQ50" i="6"/>
  <c r="AQ51" i="6"/>
  <c r="AQ52" i="6"/>
  <c r="AQ53" i="6"/>
  <c r="AQ54" i="6"/>
  <c r="AQ55" i="6"/>
  <c r="AQ56" i="6"/>
  <c r="AQ57" i="6"/>
  <c r="AQ58" i="6"/>
  <c r="AQ59" i="6"/>
  <c r="AQ60" i="6"/>
  <c r="AQ61" i="6"/>
  <c r="AQ62" i="6"/>
  <c r="AQ63" i="6"/>
  <c r="AQ64" i="6"/>
  <c r="AQ65" i="6"/>
  <c r="AQ66" i="6"/>
  <c r="AQ67" i="6"/>
  <c r="AQ68" i="6"/>
  <c r="AQ69" i="6"/>
  <c r="AQ70" i="6"/>
  <c r="AQ71" i="6"/>
  <c r="AQ72" i="6"/>
  <c r="AQ73" i="6"/>
  <c r="AQ74" i="6"/>
  <c r="AQ75" i="6"/>
  <c r="AQ76" i="6"/>
  <c r="AQ77" i="6"/>
  <c r="AQ78" i="6"/>
  <c r="AQ79" i="6"/>
  <c r="AQ80" i="6"/>
  <c r="AQ81" i="6"/>
  <c r="AQ82" i="6"/>
  <c r="AQ83" i="6"/>
  <c r="AQ84" i="6"/>
  <c r="AQ85" i="6"/>
  <c r="AQ86" i="6"/>
  <c r="AQ87" i="6"/>
  <c r="AQ88" i="6"/>
  <c r="AQ89" i="6"/>
  <c r="AQ90" i="6"/>
  <c r="AQ91" i="6"/>
  <c r="AQ92" i="6"/>
  <c r="AQ93" i="6"/>
  <c r="AQ94" i="6"/>
  <c r="AQ95" i="6"/>
  <c r="AQ96" i="6"/>
  <c r="AQ97" i="6"/>
  <c r="AQ98" i="6"/>
  <c r="AQ99" i="6"/>
  <c r="AQ100" i="6"/>
  <c r="AQ101" i="6"/>
  <c r="AQ102" i="6"/>
  <c r="AQ103" i="6"/>
  <c r="AQ104" i="6"/>
  <c r="AQ105" i="6"/>
  <c r="AQ106" i="6"/>
  <c r="AQ107" i="6"/>
  <c r="AQ108" i="6"/>
  <c r="AQ109" i="6"/>
  <c r="AQ110" i="6"/>
  <c r="AQ111" i="6"/>
  <c r="AQ112" i="6"/>
  <c r="AQ113" i="6"/>
  <c r="AQ114" i="6"/>
  <c r="AQ115" i="6"/>
  <c r="AQ116" i="6"/>
  <c r="AQ117" i="6"/>
  <c r="AQ118" i="6"/>
  <c r="AQ119" i="6"/>
  <c r="AQ120" i="6"/>
  <c r="AQ121" i="6"/>
  <c r="AQ122" i="6"/>
  <c r="AQ123" i="6"/>
  <c r="AQ124" i="6"/>
  <c r="AQ125" i="6"/>
  <c r="AQ126" i="6"/>
  <c r="AQ127" i="6"/>
  <c r="AQ128" i="6"/>
  <c r="AQ129" i="6"/>
  <c r="AQ130" i="6"/>
  <c r="AQ131" i="6"/>
  <c r="AQ132" i="6"/>
  <c r="AQ133" i="6"/>
  <c r="AQ134" i="6"/>
  <c r="AQ135" i="6"/>
  <c r="AQ136" i="6"/>
  <c r="AQ137" i="6"/>
  <c r="AQ138" i="6"/>
  <c r="AQ139" i="6"/>
  <c r="AQ140" i="6"/>
  <c r="AQ141" i="6"/>
  <c r="AQ142" i="6"/>
  <c r="AQ143" i="6"/>
  <c r="AQ144" i="6"/>
  <c r="AQ145" i="6"/>
  <c r="AQ146" i="6"/>
  <c r="AQ147" i="6"/>
  <c r="AQ148" i="6"/>
  <c r="AQ149" i="6"/>
  <c r="AQ150" i="6"/>
  <c r="AQ151" i="6"/>
  <c r="AQ152" i="6"/>
  <c r="AQ153" i="6"/>
  <c r="AQ154" i="6"/>
  <c r="AQ155" i="6"/>
  <c r="AQ156" i="6"/>
  <c r="AQ157" i="6"/>
  <c r="AQ158" i="6"/>
  <c r="AQ159" i="6"/>
  <c r="AQ160" i="6"/>
  <c r="AQ161" i="6"/>
  <c r="AQ162" i="6"/>
  <c r="AQ163" i="6"/>
  <c r="AQ164" i="6"/>
  <c r="AQ165" i="6"/>
  <c r="AQ166" i="6"/>
  <c r="AQ167" i="6"/>
  <c r="AQ168" i="6"/>
  <c r="AQ169" i="6"/>
  <c r="AQ170" i="6"/>
  <c r="AQ171" i="6"/>
  <c r="AQ172" i="6"/>
  <c r="AQ173" i="6"/>
  <c r="AQ174" i="6"/>
  <c r="AQ175" i="6"/>
  <c r="AQ176" i="6"/>
  <c r="AQ177" i="6"/>
  <c r="AQ178" i="6"/>
  <c r="AQ179" i="6"/>
  <c r="AQ180" i="6"/>
  <c r="AQ181" i="6"/>
  <c r="AQ182" i="6"/>
  <c r="AQ183" i="6"/>
  <c r="AQ184" i="6"/>
  <c r="AQ185" i="6"/>
  <c r="AQ186" i="6"/>
  <c r="AQ187" i="6"/>
  <c r="AQ188" i="6"/>
  <c r="AQ189" i="6"/>
  <c r="AQ190" i="6"/>
  <c r="AQ191" i="6"/>
  <c r="AQ192" i="6"/>
  <c r="AQ193" i="6"/>
  <c r="AQ194" i="6"/>
  <c r="AQ195" i="6"/>
  <c r="AQ196" i="6"/>
  <c r="AQ197" i="6"/>
  <c r="AQ198" i="6"/>
  <c r="AQ199" i="6"/>
  <c r="AQ200" i="6"/>
  <c r="AQ201" i="6"/>
  <c r="AQ202" i="6"/>
  <c r="AQ203" i="6"/>
  <c r="AQ204" i="6"/>
  <c r="AQ205" i="6"/>
  <c r="AQ206" i="6"/>
  <c r="AQ207" i="6"/>
  <c r="AQ208" i="6"/>
  <c r="AQ209" i="6"/>
  <c r="AQ210" i="6"/>
  <c r="AQ211" i="6"/>
  <c r="AQ212" i="6"/>
  <c r="AQ213" i="6"/>
  <c r="AQ214" i="6"/>
  <c r="AQ215" i="6"/>
  <c r="AQ216" i="6"/>
  <c r="AQ217" i="6"/>
  <c r="AQ218" i="6"/>
  <c r="AQ219" i="6"/>
  <c r="AQ220" i="6"/>
  <c r="AQ221" i="6"/>
  <c r="AQ222" i="6"/>
  <c r="AQ223" i="6"/>
  <c r="AQ224" i="6"/>
  <c r="AQ225" i="6"/>
  <c r="AQ226" i="6"/>
  <c r="AQ227" i="6"/>
  <c r="AQ228" i="6"/>
  <c r="AQ229" i="6"/>
  <c r="AQ230" i="6"/>
  <c r="AQ231" i="6"/>
  <c r="AQ232" i="6"/>
  <c r="AQ233" i="6"/>
  <c r="AQ234" i="6"/>
  <c r="AQ235" i="6"/>
  <c r="AQ236" i="6"/>
  <c r="AQ237" i="6"/>
  <c r="AQ238" i="6"/>
  <c r="AQ239" i="6"/>
  <c r="AQ240" i="6"/>
  <c r="AQ241" i="6"/>
  <c r="AQ242" i="6"/>
  <c r="AQ243" i="6"/>
  <c r="AQ244" i="6"/>
  <c r="AQ245" i="6"/>
  <c r="AQ246" i="6"/>
  <c r="AQ247" i="6"/>
  <c r="AQ248" i="6"/>
  <c r="AQ249" i="6"/>
  <c r="AQ250" i="6"/>
  <c r="AQ251" i="6"/>
  <c r="AQ252" i="6"/>
  <c r="AQ253" i="6"/>
  <c r="AQ254" i="6"/>
  <c r="AQ255" i="6"/>
  <c r="AQ256" i="6"/>
  <c r="AQ257" i="6"/>
  <c r="AQ258" i="6"/>
  <c r="AQ259" i="6"/>
  <c r="AQ260" i="6"/>
  <c r="AQ261" i="6"/>
  <c r="AQ262" i="6"/>
  <c r="AQ263" i="6"/>
  <c r="AQ264" i="6"/>
  <c r="AQ265" i="6"/>
  <c r="AQ266" i="6"/>
  <c r="AQ267" i="6"/>
  <c r="AQ268" i="6"/>
  <c r="AQ269" i="6"/>
  <c r="AQ270" i="6"/>
  <c r="AQ271" i="6"/>
  <c r="AQ272" i="6"/>
  <c r="AQ273" i="6"/>
  <c r="AQ274" i="6"/>
  <c r="AQ275" i="6"/>
  <c r="AQ276" i="6"/>
  <c r="AQ277" i="6"/>
  <c r="AQ278" i="6"/>
  <c r="AQ279" i="6"/>
  <c r="AQ280" i="6"/>
  <c r="AQ281" i="6"/>
  <c r="AQ282" i="6"/>
  <c r="AQ283" i="6"/>
  <c r="AQ284" i="6"/>
  <c r="AQ285" i="6"/>
  <c r="AQ286" i="6"/>
  <c r="AQ287" i="6"/>
  <c r="AQ288" i="6"/>
  <c r="AQ289" i="6"/>
  <c r="AQ290" i="6"/>
  <c r="AQ291" i="6"/>
  <c r="AQ292" i="6"/>
  <c r="AQ293" i="6"/>
  <c r="AQ294" i="6"/>
  <c r="AQ295" i="6"/>
  <c r="AQ296" i="6"/>
  <c r="AQ297" i="6"/>
  <c r="AQ298" i="6"/>
  <c r="AQ299" i="6"/>
  <c r="AQ300" i="6"/>
  <c r="AQ301" i="6"/>
  <c r="AQ302" i="6"/>
  <c r="AQ303" i="6"/>
  <c r="AQ304" i="6"/>
  <c r="AQ305" i="6"/>
  <c r="AQ306" i="6"/>
  <c r="AQ307" i="6"/>
  <c r="AQ308" i="6"/>
  <c r="AQ309" i="6"/>
  <c r="AQ310" i="6"/>
  <c r="AQ311" i="6"/>
  <c r="AQ312" i="6"/>
  <c r="AQ313" i="6"/>
  <c r="AQ314" i="6"/>
  <c r="AQ315" i="6"/>
  <c r="AQ316" i="6"/>
  <c r="AQ317" i="6"/>
  <c r="AQ318" i="6"/>
  <c r="AQ319" i="6"/>
  <c r="AQ320" i="6"/>
  <c r="AQ321" i="6"/>
  <c r="AQ322" i="6"/>
  <c r="AQ323" i="6"/>
  <c r="AQ324" i="6"/>
  <c r="AQ325" i="6"/>
  <c r="AQ326" i="6"/>
  <c r="AQ327" i="6"/>
  <c r="AQ328" i="6"/>
  <c r="AQ329" i="6"/>
  <c r="AQ330" i="6"/>
  <c r="AQ331" i="6"/>
  <c r="AQ332" i="6"/>
  <c r="AQ333" i="6"/>
  <c r="AQ334" i="6"/>
  <c r="AQ335" i="6"/>
  <c r="AQ336" i="6"/>
  <c r="AQ337" i="6"/>
  <c r="AQ338" i="6"/>
  <c r="AQ339" i="6"/>
  <c r="AQ340" i="6"/>
  <c r="AQ341" i="6"/>
  <c r="AQ342" i="6"/>
  <c r="AQ343" i="6"/>
  <c r="AQ344" i="6"/>
  <c r="AQ345" i="6"/>
  <c r="AQ346" i="6"/>
  <c r="AQ347" i="6"/>
  <c r="AQ348" i="6"/>
  <c r="AQ349" i="6"/>
  <c r="AQ350" i="6"/>
  <c r="AQ351" i="6"/>
  <c r="AQ352" i="6"/>
  <c r="AQ353" i="6"/>
  <c r="AQ354" i="6"/>
  <c r="AQ355" i="6"/>
  <c r="AQ356" i="6"/>
  <c r="AQ357" i="6"/>
  <c r="AQ358" i="6"/>
  <c r="AQ359" i="6"/>
  <c r="AQ360" i="6"/>
  <c r="AQ361" i="6"/>
  <c r="AQ362" i="6"/>
  <c r="AQ363" i="6"/>
  <c r="AQ364" i="6"/>
  <c r="AQ365" i="6"/>
  <c r="AQ366" i="6"/>
  <c r="AQ7" i="6"/>
  <c r="Y8" i="10"/>
  <c r="Y9" i="10"/>
  <c r="Y17" i="10"/>
  <c r="Y18" i="10"/>
  <c r="Y21" i="10"/>
  <c r="Y22" i="10"/>
  <c r="Y23" i="10"/>
  <c r="Y24" i="10"/>
  <c r="Y29" i="10"/>
  <c r="Y30" i="10"/>
  <c r="Y35" i="10"/>
  <c r="Y36" i="10"/>
  <c r="Y42" i="10"/>
  <c r="Y47" i="10"/>
  <c r="Y48" i="10"/>
  <c r="Y51" i="10"/>
  <c r="Y52" i="10"/>
  <c r="Y53" i="10"/>
  <c r="Y54" i="10"/>
  <c r="Y65" i="10"/>
  <c r="Y66" i="10"/>
  <c r="Y70" i="10"/>
  <c r="Y71" i="10"/>
  <c r="Y72" i="10"/>
  <c r="Y75" i="10"/>
  <c r="Y76" i="10"/>
  <c r="Y77" i="10"/>
  <c r="Y78" i="10"/>
  <c r="Y82" i="10"/>
  <c r="Y83" i="10"/>
  <c r="Y84" i="10"/>
  <c r="Y89" i="10"/>
  <c r="Y90" i="10"/>
  <c r="Y94" i="10"/>
  <c r="Y95" i="10"/>
  <c r="Y96" i="10"/>
  <c r="Y101" i="10"/>
  <c r="Y102" i="10"/>
  <c r="Y106" i="10"/>
  <c r="Y107" i="10"/>
  <c r="Y108" i="10"/>
  <c r="Y112" i="10"/>
  <c r="Y113" i="10"/>
  <c r="Y114" i="10"/>
  <c r="Y119" i="10"/>
  <c r="Y120" i="10"/>
  <c r="Y124" i="10"/>
  <c r="Y125" i="10"/>
  <c r="Y126" i="10"/>
  <c r="Y131" i="10"/>
  <c r="Y132" i="10"/>
  <c r="Y135" i="10"/>
  <c r="Y136" i="10"/>
  <c r="Y137" i="10"/>
  <c r="Y138" i="10"/>
  <c r="Y142" i="10"/>
  <c r="Y143" i="10"/>
  <c r="Y144" i="10"/>
  <c r="Y149" i="10"/>
  <c r="Y150" i="10"/>
  <c r="Y154" i="10"/>
  <c r="Y155" i="10"/>
  <c r="Y156" i="10"/>
  <c r="Y161" i="10"/>
  <c r="Y162" i="10"/>
  <c r="Y165" i="10"/>
  <c r="Y166" i="10"/>
  <c r="Y167" i="10"/>
  <c r="Y168" i="10"/>
  <c r="Y171" i="10"/>
  <c r="Y172" i="10"/>
  <c r="Y173" i="10"/>
  <c r="Y174" i="10"/>
  <c r="Y178" i="10"/>
  <c r="Y179" i="10"/>
  <c r="Y180" i="10"/>
  <c r="Y182" i="10"/>
  <c r="Y183" i="10"/>
  <c r="Y184" i="10"/>
  <c r="Y185" i="10"/>
  <c r="Y186" i="10"/>
  <c r="Y191" i="10"/>
  <c r="Y192" i="10"/>
  <c r="Y200" i="10"/>
  <c r="Y201" i="10"/>
  <c r="Y202" i="10"/>
  <c r="Y203" i="10"/>
  <c r="Y204" i="10"/>
  <c r="Y209" i="10"/>
  <c r="Y210" i="10"/>
  <c r="Y214" i="10"/>
  <c r="Y215" i="10"/>
  <c r="Y216" i="10"/>
  <c r="Y219" i="10"/>
  <c r="Y220" i="10"/>
  <c r="Y221" i="10"/>
  <c r="Y222" i="10"/>
  <c r="Y225" i="10"/>
  <c r="Y226" i="10"/>
  <c r="Y227" i="10"/>
  <c r="Y228" i="10"/>
  <c r="Y233" i="10"/>
  <c r="Y234" i="10"/>
  <c r="Y239" i="10"/>
  <c r="Y240" i="10"/>
  <c r="Y244" i="10"/>
  <c r="Y245" i="10"/>
  <c r="Y246" i="10"/>
  <c r="Y249" i="10"/>
  <c r="Y250" i="10"/>
  <c r="Y251" i="10"/>
  <c r="Y252" i="10"/>
  <c r="Y255" i="10"/>
  <c r="Y256" i="10"/>
  <c r="Y257" i="10"/>
  <c r="Y258" i="10"/>
  <c r="Y262" i="10"/>
  <c r="Y263" i="10"/>
  <c r="Y264" i="10"/>
  <c r="Y266" i="10"/>
  <c r="Y267" i="10"/>
  <c r="Y268" i="10"/>
  <c r="Y269" i="10"/>
  <c r="Y270" i="10"/>
  <c r="Y273" i="10"/>
  <c r="Y274" i="10"/>
  <c r="Y275" i="10"/>
  <c r="Y276" i="10"/>
  <c r="Y280" i="10"/>
  <c r="Y281" i="10"/>
  <c r="Y282" i="10"/>
  <c r="Y288" i="10"/>
  <c r="Y291" i="10"/>
  <c r="Y292" i="10"/>
  <c r="Y293" i="10"/>
  <c r="Y294" i="10"/>
  <c r="Y297" i="10"/>
  <c r="Y298" i="10"/>
  <c r="Y299" i="10"/>
  <c r="Y300" i="10"/>
  <c r="Y301" i="10"/>
  <c r="Y302" i="10"/>
  <c r="Y303" i="10"/>
  <c r="Y304" i="10"/>
  <c r="Y305" i="10"/>
  <c r="Y306" i="10"/>
  <c r="Y307" i="10"/>
  <c r="Y308" i="10"/>
  <c r="Y309" i="10"/>
  <c r="Y310" i="10"/>
  <c r="Y311" i="10"/>
  <c r="Y312" i="10"/>
  <c r="Y313" i="10"/>
  <c r="Y314" i="10"/>
  <c r="Y315" i="10"/>
  <c r="Y316" i="10"/>
  <c r="Y317" i="10"/>
  <c r="Y318" i="10"/>
  <c r="Y321" i="10"/>
  <c r="Y7" i="10"/>
  <c r="C181" i="10" l="1"/>
  <c r="C175" i="10"/>
  <c r="C169" i="10"/>
  <c r="K253" i="10" l="1"/>
  <c r="K247" i="10" l="1"/>
  <c r="K241" i="10"/>
  <c r="K235" i="10" l="1"/>
  <c r="C235" i="10"/>
  <c r="K229" i="10"/>
  <c r="C229" i="10"/>
  <c r="K223" i="10"/>
  <c r="K79" i="10" l="1"/>
  <c r="BA30" i="6" l="1"/>
  <c r="BA29" i="6"/>
  <c r="BA28" i="6"/>
  <c r="BA27" i="6"/>
  <c r="BA26" i="6"/>
  <c r="BA25" i="6"/>
  <c r="AU25" i="6"/>
  <c r="AS25" i="6"/>
  <c r="AO25" i="6"/>
  <c r="AM25" i="6"/>
  <c r="AK25" i="6"/>
  <c r="AD24" i="6" l="1"/>
  <c r="AD23" i="6"/>
  <c r="AD22" i="6"/>
  <c r="AD21" i="6"/>
  <c r="AD20" i="6"/>
  <c r="C13" i="10" l="1"/>
  <c r="K19" i="10"/>
  <c r="K13" i="10" l="1"/>
  <c r="M13" i="10"/>
  <c r="N13" i="10"/>
  <c r="AU8" i="12" l="1"/>
  <c r="AU9" i="12"/>
  <c r="AU10" i="12"/>
  <c r="AU11" i="12"/>
  <c r="AU12" i="12"/>
  <c r="AU13" i="12"/>
  <c r="AU14" i="12"/>
  <c r="AU15" i="12"/>
  <c r="AU16" i="12"/>
  <c r="AU17" i="12"/>
  <c r="AU18" i="12"/>
  <c r="AU19" i="12"/>
  <c r="AU20" i="12"/>
  <c r="AU21" i="12"/>
  <c r="AU22" i="12"/>
  <c r="AU23" i="12"/>
  <c r="AU24" i="12"/>
  <c r="AU25" i="12"/>
  <c r="AU26" i="12"/>
  <c r="AU27" i="12"/>
  <c r="AU28" i="12"/>
  <c r="AU29" i="12"/>
  <c r="AU30" i="12"/>
  <c r="AU31" i="12"/>
  <c r="AU32" i="12"/>
  <c r="AU33" i="12"/>
  <c r="AU34" i="12"/>
  <c r="AU35" i="12"/>
  <c r="AU36" i="12"/>
  <c r="AU37" i="12"/>
  <c r="AU38" i="12"/>
  <c r="AU39" i="12"/>
  <c r="AU40" i="12"/>
  <c r="AU41" i="12"/>
  <c r="AU42" i="12"/>
  <c r="AU43" i="12"/>
  <c r="AU44" i="12"/>
  <c r="AU45" i="12"/>
  <c r="AU46" i="12"/>
  <c r="AU47" i="12"/>
  <c r="AU48" i="12"/>
  <c r="AU49" i="12"/>
  <c r="AU50" i="12"/>
  <c r="AU51" i="12"/>
  <c r="AU52" i="12"/>
  <c r="AU53" i="12"/>
  <c r="AU54" i="12"/>
  <c r="AU55" i="12"/>
  <c r="AU56" i="12"/>
  <c r="AU57" i="12"/>
  <c r="AU58" i="12"/>
  <c r="AU59" i="12"/>
  <c r="AU60" i="12"/>
  <c r="AU61" i="12"/>
  <c r="AU62" i="12"/>
  <c r="AU63" i="12"/>
  <c r="AU64" i="12"/>
  <c r="AU65" i="12"/>
  <c r="AU66" i="12"/>
  <c r="AU67" i="12"/>
  <c r="AU68" i="12"/>
  <c r="AU69" i="12"/>
  <c r="AU70" i="12"/>
  <c r="AU71" i="12"/>
  <c r="AU72" i="12"/>
  <c r="AU73" i="12"/>
  <c r="AU74" i="12"/>
  <c r="AU75" i="12"/>
  <c r="AU76" i="12"/>
  <c r="AU77" i="12"/>
  <c r="AU78" i="12"/>
  <c r="AU79" i="12"/>
  <c r="AU80" i="12"/>
  <c r="AU81" i="12"/>
  <c r="AU82" i="12"/>
  <c r="AU83" i="12"/>
  <c r="AU84" i="12"/>
  <c r="AU85" i="12"/>
  <c r="AU86" i="12"/>
  <c r="AU87" i="12"/>
  <c r="AU88" i="12"/>
  <c r="AU89" i="12"/>
  <c r="AU90" i="12"/>
  <c r="AU91" i="12"/>
  <c r="AU92" i="12"/>
  <c r="AU93" i="12"/>
  <c r="AU94" i="12"/>
  <c r="AU95" i="12"/>
  <c r="AU96" i="12"/>
  <c r="AU97" i="12"/>
  <c r="AU98" i="12"/>
  <c r="AU99" i="12"/>
  <c r="AU100" i="12"/>
  <c r="AU101" i="12"/>
  <c r="AU102" i="12"/>
  <c r="AU103" i="12"/>
  <c r="AU104" i="12"/>
  <c r="AU105" i="12"/>
  <c r="AU106" i="12"/>
  <c r="AU107" i="12"/>
  <c r="AU108" i="12"/>
  <c r="AU109" i="12"/>
  <c r="AU110" i="12"/>
  <c r="AU111" i="12"/>
  <c r="AU112" i="12"/>
  <c r="AU113" i="12"/>
  <c r="AU114" i="12"/>
  <c r="AU115" i="12"/>
  <c r="AU116" i="12"/>
  <c r="AU117" i="12"/>
  <c r="AU118" i="12"/>
  <c r="AU119" i="12"/>
  <c r="AU120" i="12"/>
  <c r="AU121" i="12"/>
  <c r="AU122" i="12"/>
  <c r="AU123" i="12"/>
  <c r="AU124" i="12"/>
  <c r="AU125" i="12"/>
  <c r="AU126" i="12"/>
  <c r="AU127" i="12"/>
  <c r="AU128" i="12"/>
  <c r="AU129" i="12"/>
  <c r="AU130" i="12"/>
  <c r="AU131" i="12"/>
  <c r="AU132" i="12"/>
  <c r="AU133" i="12"/>
  <c r="AU134" i="12"/>
  <c r="AU135" i="12"/>
  <c r="AU136" i="12"/>
  <c r="AU137" i="12"/>
  <c r="AU138" i="12"/>
  <c r="AU139" i="12"/>
  <c r="AU140" i="12"/>
  <c r="AU141" i="12"/>
  <c r="AU142" i="12"/>
  <c r="AU143" i="12"/>
  <c r="AU144" i="12"/>
  <c r="AU145" i="12"/>
  <c r="AU146" i="12"/>
  <c r="AU147" i="12"/>
  <c r="AU148" i="12"/>
  <c r="AU149" i="12"/>
  <c r="AU150" i="12"/>
  <c r="AU151" i="12"/>
  <c r="AU152" i="12"/>
  <c r="AU153" i="12"/>
  <c r="AU154" i="12"/>
  <c r="AU155" i="12"/>
  <c r="AU156" i="12"/>
  <c r="AU157" i="12"/>
  <c r="AU158" i="12"/>
  <c r="AU159" i="12"/>
  <c r="AU160" i="12"/>
  <c r="AU161" i="12"/>
  <c r="AU162" i="12"/>
  <c r="AU163" i="12"/>
  <c r="AU164" i="12"/>
  <c r="AU165" i="12"/>
  <c r="AU166" i="12"/>
  <c r="AU167" i="12"/>
  <c r="AU168" i="12"/>
  <c r="AU169" i="12"/>
  <c r="AU170" i="12"/>
  <c r="AU171" i="12"/>
  <c r="AU172" i="12"/>
  <c r="AU173" i="12"/>
  <c r="AU174" i="12"/>
  <c r="AU175" i="12"/>
  <c r="AU176" i="12"/>
  <c r="AU177" i="12"/>
  <c r="AU178" i="12"/>
  <c r="AU179" i="12"/>
  <c r="AU180" i="12"/>
  <c r="AU181" i="12"/>
  <c r="AU182" i="12"/>
  <c r="AU183" i="12"/>
  <c r="AU184" i="12"/>
  <c r="AU185" i="12"/>
  <c r="AU186" i="12"/>
  <c r="AU187" i="12"/>
  <c r="AU188" i="12"/>
  <c r="AU189" i="12"/>
  <c r="AU190" i="12"/>
  <c r="AU191" i="12"/>
  <c r="AU192" i="12"/>
  <c r="AU193" i="12"/>
  <c r="AU194" i="12"/>
  <c r="AU195" i="12"/>
  <c r="AU196" i="12"/>
  <c r="AU197" i="12"/>
  <c r="AU198" i="12"/>
  <c r="AU199" i="12"/>
  <c r="AU200" i="12"/>
  <c r="AU201" i="12"/>
  <c r="AU202" i="12"/>
  <c r="AU203" i="12"/>
  <c r="AU204" i="12"/>
  <c r="AU205" i="12"/>
  <c r="AU206" i="12"/>
  <c r="AU207" i="12"/>
  <c r="AU208" i="12"/>
  <c r="AU209" i="12"/>
  <c r="AU210" i="12"/>
  <c r="AU211" i="12"/>
  <c r="AU212" i="12"/>
  <c r="AU213" i="12"/>
  <c r="AU214" i="12"/>
  <c r="AU215" i="12"/>
  <c r="AU216" i="12"/>
  <c r="AU217" i="12"/>
  <c r="AU218" i="12"/>
  <c r="AU219" i="12"/>
  <c r="AU220" i="12"/>
  <c r="AU221" i="12"/>
  <c r="AU222" i="12"/>
  <c r="AU223" i="12"/>
  <c r="AU224" i="12"/>
  <c r="AU225" i="12"/>
  <c r="AU226" i="12"/>
  <c r="AU227" i="12"/>
  <c r="AU228" i="12"/>
  <c r="AU229" i="12"/>
  <c r="AU230" i="12"/>
  <c r="AU231" i="12"/>
  <c r="AU232" i="12"/>
  <c r="AU233" i="12"/>
  <c r="AU234" i="12"/>
  <c r="AU235" i="12"/>
  <c r="AU236" i="12"/>
  <c r="AU237" i="12"/>
  <c r="AU238" i="12"/>
  <c r="AU239" i="12"/>
  <c r="AU240" i="12"/>
  <c r="AU241" i="12"/>
  <c r="AU242" i="12"/>
  <c r="AU243" i="12"/>
  <c r="AU244" i="12"/>
  <c r="AU245" i="12"/>
  <c r="AU246" i="12"/>
  <c r="AU247" i="12"/>
  <c r="AU248" i="12"/>
  <c r="AU249" i="12"/>
  <c r="AU250" i="12"/>
  <c r="AU251" i="12"/>
  <c r="AU252" i="12"/>
  <c r="AU253" i="12"/>
  <c r="AU254" i="12"/>
  <c r="AU255" i="12"/>
  <c r="AU256" i="12"/>
  <c r="AU257" i="12"/>
  <c r="AU258" i="12"/>
  <c r="AU259" i="12"/>
  <c r="AU260" i="12"/>
  <c r="AU261" i="12"/>
  <c r="AU262" i="12"/>
  <c r="AU263" i="12"/>
  <c r="AU264" i="12"/>
  <c r="AU265" i="12"/>
  <c r="AU266" i="12"/>
  <c r="AU267" i="12"/>
  <c r="AU268" i="12"/>
  <c r="AU269" i="12"/>
  <c r="AU270" i="12"/>
  <c r="AU271" i="12"/>
  <c r="AU272" i="12"/>
  <c r="AU273" i="12"/>
  <c r="AU274" i="12"/>
  <c r="AU275" i="12"/>
  <c r="AU276" i="12"/>
  <c r="AU277" i="12"/>
  <c r="AU278" i="12"/>
  <c r="AU279" i="12"/>
  <c r="AU280" i="12"/>
  <c r="AU281" i="12"/>
  <c r="AU282" i="12"/>
  <c r="AU283" i="12"/>
  <c r="AU284" i="12"/>
  <c r="AU285" i="12"/>
  <c r="AU286" i="12"/>
  <c r="AU287" i="12"/>
  <c r="AU288" i="12"/>
  <c r="AU289" i="12"/>
  <c r="AU290" i="12"/>
  <c r="AU291" i="12"/>
  <c r="AU292" i="12"/>
  <c r="AU293" i="12"/>
  <c r="AU294" i="12"/>
  <c r="AU295" i="12"/>
  <c r="AU296" i="12"/>
  <c r="AU297" i="12"/>
  <c r="AU298" i="12"/>
  <c r="AU299" i="12"/>
  <c r="AU300" i="12"/>
  <c r="AU301" i="12"/>
  <c r="AU302" i="12"/>
  <c r="AU303" i="12"/>
  <c r="AU304" i="12"/>
  <c r="AU305" i="12"/>
  <c r="AU306" i="12"/>
  <c r="AU307" i="12"/>
  <c r="AU308" i="12"/>
  <c r="AU309" i="12"/>
  <c r="AU310" i="12"/>
  <c r="AU311" i="12"/>
  <c r="AU312" i="12"/>
  <c r="AU313" i="12"/>
  <c r="AU314" i="12"/>
  <c r="AU315" i="12"/>
  <c r="AU316" i="12"/>
  <c r="AU317" i="12"/>
  <c r="AU318" i="12"/>
  <c r="AU319" i="12"/>
  <c r="AU320" i="12"/>
  <c r="AU321" i="12"/>
  <c r="AU322" i="12"/>
  <c r="AU323" i="12"/>
  <c r="AU324" i="12"/>
  <c r="AU325" i="12"/>
  <c r="AU326" i="12"/>
  <c r="AU327" i="12"/>
  <c r="AU328" i="12"/>
  <c r="AU329" i="12"/>
  <c r="AU330" i="12"/>
  <c r="AU331" i="12"/>
  <c r="AU332" i="12"/>
  <c r="AU333" i="12"/>
  <c r="AU334" i="12"/>
  <c r="AU335" i="12"/>
  <c r="AU336" i="12"/>
  <c r="AU337" i="12"/>
  <c r="AU338" i="12"/>
  <c r="AU339" i="12"/>
  <c r="AU340" i="12"/>
  <c r="AU341" i="12"/>
  <c r="AU342" i="12"/>
  <c r="AU343" i="12"/>
  <c r="AU344" i="12"/>
  <c r="AU345" i="12"/>
  <c r="AU346" i="12"/>
  <c r="AU347" i="12"/>
  <c r="AU348" i="12"/>
  <c r="AU349" i="12"/>
  <c r="AU350" i="12"/>
  <c r="AU351" i="12"/>
  <c r="AU352" i="12"/>
  <c r="AU353" i="12"/>
  <c r="AU354" i="12"/>
  <c r="AU355" i="12"/>
  <c r="AU356" i="12"/>
  <c r="AU357" i="12"/>
  <c r="AU358" i="12"/>
  <c r="AU359" i="12"/>
  <c r="AU360" i="12"/>
  <c r="AU361" i="12"/>
  <c r="AU362" i="12"/>
  <c r="AU363" i="12"/>
  <c r="AU364" i="12"/>
  <c r="AU365" i="12"/>
  <c r="AU366" i="12"/>
  <c r="AU7" i="12"/>
  <c r="AW9" i="12" l="1"/>
  <c r="AX9" i="12" s="1"/>
  <c r="AW10" i="12"/>
  <c r="AX10" i="12" s="1"/>
  <c r="AW12" i="12"/>
  <c r="AX12" i="12" s="1"/>
  <c r="AW13" i="12"/>
  <c r="AX13" i="12" s="1"/>
  <c r="AW14" i="12"/>
  <c r="AX14" i="12" s="1"/>
  <c r="AW15" i="12"/>
  <c r="AX15" i="12" s="1"/>
  <c r="AW16" i="12"/>
  <c r="AX16" i="12" s="1"/>
  <c r="AW17" i="12"/>
  <c r="AX17" i="12" s="1"/>
  <c r="AW18" i="12"/>
  <c r="AX18" i="12" s="1"/>
  <c r="AW19" i="12"/>
  <c r="AX19" i="12" s="1"/>
  <c r="AW20" i="12"/>
  <c r="AX20" i="12" s="1"/>
  <c r="AW21" i="12"/>
  <c r="AX21" i="12" s="1"/>
  <c r="AW22" i="12"/>
  <c r="AX22" i="12" s="1"/>
  <c r="AW23" i="12"/>
  <c r="AX23" i="12" s="1"/>
  <c r="AW24" i="12"/>
  <c r="AX24" i="12" s="1"/>
  <c r="AW25" i="12"/>
  <c r="AX25" i="12" s="1"/>
  <c r="AW26" i="12"/>
  <c r="AX26" i="12" s="1"/>
  <c r="AW27" i="12"/>
  <c r="AX27" i="12" s="1"/>
  <c r="AW28" i="12"/>
  <c r="AX28" i="12" s="1"/>
  <c r="AW29" i="12"/>
  <c r="AX29" i="12" s="1"/>
  <c r="AW30" i="12"/>
  <c r="AX30" i="12" s="1"/>
  <c r="AW31" i="12"/>
  <c r="AX31" i="12" s="1"/>
  <c r="AW32" i="12"/>
  <c r="AX32" i="12" s="1"/>
  <c r="AW33" i="12"/>
  <c r="AX33" i="12" s="1"/>
  <c r="AW34" i="12"/>
  <c r="AX34" i="12" s="1"/>
  <c r="AW35" i="12"/>
  <c r="AX35" i="12" s="1"/>
  <c r="AW36" i="12"/>
  <c r="AX36" i="12" s="1"/>
  <c r="AW37" i="12"/>
  <c r="AX37" i="12" s="1"/>
  <c r="AW38" i="12"/>
  <c r="AX38" i="12" s="1"/>
  <c r="AW39" i="12"/>
  <c r="AX39" i="12" s="1"/>
  <c r="AW40" i="12"/>
  <c r="AX40" i="12" s="1"/>
  <c r="AW41" i="12"/>
  <c r="AX41" i="12" s="1"/>
  <c r="AW42" i="12"/>
  <c r="AX42" i="12" s="1"/>
  <c r="AW43" i="12"/>
  <c r="AX43" i="12" s="1"/>
  <c r="AW44" i="12"/>
  <c r="AX44" i="12" s="1"/>
  <c r="AW45" i="12"/>
  <c r="AX45" i="12" s="1"/>
  <c r="AW46" i="12"/>
  <c r="AX46" i="12" s="1"/>
  <c r="AW47" i="12"/>
  <c r="AX47" i="12" s="1"/>
  <c r="AW48" i="12"/>
  <c r="AX48" i="12" s="1"/>
  <c r="AW49" i="12"/>
  <c r="AX49" i="12" s="1"/>
  <c r="AW50" i="12"/>
  <c r="AX50" i="12" s="1"/>
  <c r="AW51" i="12"/>
  <c r="AX51" i="12" s="1"/>
  <c r="AW52" i="12"/>
  <c r="AX52" i="12" s="1"/>
  <c r="AW53" i="12"/>
  <c r="AX53" i="12" s="1"/>
  <c r="AW54" i="12"/>
  <c r="AX54" i="12" s="1"/>
  <c r="AW55" i="12"/>
  <c r="AX55" i="12" s="1"/>
  <c r="AW56" i="12"/>
  <c r="AX56" i="12" s="1"/>
  <c r="AW57" i="12"/>
  <c r="AX57" i="12" s="1"/>
  <c r="AW58" i="12"/>
  <c r="AX58" i="12" s="1"/>
  <c r="AW59" i="12"/>
  <c r="AX59" i="12" s="1"/>
  <c r="AW60" i="12"/>
  <c r="AX60" i="12" s="1"/>
  <c r="AW61" i="12"/>
  <c r="AX61" i="12" s="1"/>
  <c r="AW62" i="12"/>
  <c r="AX62" i="12" s="1"/>
  <c r="AW63" i="12"/>
  <c r="AX63" i="12" s="1"/>
  <c r="AW64" i="12"/>
  <c r="AX64" i="12" s="1"/>
  <c r="AW65" i="12"/>
  <c r="AX65" i="12" s="1"/>
  <c r="AW66" i="12"/>
  <c r="AX66" i="12" s="1"/>
  <c r="AW67" i="12"/>
  <c r="AX67" i="12" s="1"/>
  <c r="AW68" i="12"/>
  <c r="AX68" i="12" s="1"/>
  <c r="AW69" i="12"/>
  <c r="AX69" i="12" s="1"/>
  <c r="AW70" i="12"/>
  <c r="AX70" i="12" s="1"/>
  <c r="AW71" i="12"/>
  <c r="AX71" i="12" s="1"/>
  <c r="AW72" i="12"/>
  <c r="AX72" i="12" s="1"/>
  <c r="AW73" i="12"/>
  <c r="AX73" i="12" s="1"/>
  <c r="AW74" i="12"/>
  <c r="AX74" i="12" s="1"/>
  <c r="AW75" i="12"/>
  <c r="AX75" i="12" s="1"/>
  <c r="AW76" i="12"/>
  <c r="AX76" i="12" s="1"/>
  <c r="AW77" i="12"/>
  <c r="AX77" i="12" s="1"/>
  <c r="AW78" i="12"/>
  <c r="AX78" i="12" s="1"/>
  <c r="AW79" i="12"/>
  <c r="AX79" i="12" s="1"/>
  <c r="AW80" i="12"/>
  <c r="AX80" i="12" s="1"/>
  <c r="AW81" i="12"/>
  <c r="AX81" i="12" s="1"/>
  <c r="AW82" i="12"/>
  <c r="AX82" i="12" s="1"/>
  <c r="AW83" i="12"/>
  <c r="AX83" i="12" s="1"/>
  <c r="AW84" i="12"/>
  <c r="AX84" i="12" s="1"/>
  <c r="AW85" i="12"/>
  <c r="AX85" i="12" s="1"/>
  <c r="AW86" i="12"/>
  <c r="AX86" i="12" s="1"/>
  <c r="AW87" i="12"/>
  <c r="AX87" i="12" s="1"/>
  <c r="AW88" i="12"/>
  <c r="AX88" i="12" s="1"/>
  <c r="AW89" i="12"/>
  <c r="AX89" i="12" s="1"/>
  <c r="AW90" i="12"/>
  <c r="AX90" i="12" s="1"/>
  <c r="AW91" i="12"/>
  <c r="AX91" i="12" s="1"/>
  <c r="AW92" i="12"/>
  <c r="AX92" i="12" s="1"/>
  <c r="AW93" i="12"/>
  <c r="AX93" i="12" s="1"/>
  <c r="AW94" i="12"/>
  <c r="AX94" i="12" s="1"/>
  <c r="AW95" i="12"/>
  <c r="AX95" i="12" s="1"/>
  <c r="AW96" i="12"/>
  <c r="AX96" i="12" s="1"/>
  <c r="AW97" i="12"/>
  <c r="AX97" i="12" s="1"/>
  <c r="AW98" i="12"/>
  <c r="AX98" i="12" s="1"/>
  <c r="AW99" i="12"/>
  <c r="AX99" i="12" s="1"/>
  <c r="AW100" i="12"/>
  <c r="AX100" i="12" s="1"/>
  <c r="AW101" i="12"/>
  <c r="AX101" i="12" s="1"/>
  <c r="AW102" i="12"/>
  <c r="AX102" i="12" s="1"/>
  <c r="AW103" i="12"/>
  <c r="AX103" i="12" s="1"/>
  <c r="AW104" i="12"/>
  <c r="AX104" i="12" s="1"/>
  <c r="AW105" i="12"/>
  <c r="AX105" i="12" s="1"/>
  <c r="AW106" i="12"/>
  <c r="AX106" i="12" s="1"/>
  <c r="AW107" i="12"/>
  <c r="AX107" i="12" s="1"/>
  <c r="AW108" i="12"/>
  <c r="AX108" i="12" s="1"/>
  <c r="AW109" i="12"/>
  <c r="AX109" i="12" s="1"/>
  <c r="AW110" i="12"/>
  <c r="AX110" i="12" s="1"/>
  <c r="AW111" i="12"/>
  <c r="AX111" i="12" s="1"/>
  <c r="AW112" i="12"/>
  <c r="AX112" i="12" s="1"/>
  <c r="AW113" i="12"/>
  <c r="AX113" i="12" s="1"/>
  <c r="AW114" i="12"/>
  <c r="AX114" i="12" s="1"/>
  <c r="AW115" i="12"/>
  <c r="AX115" i="12" s="1"/>
  <c r="AW116" i="12"/>
  <c r="AX116" i="12" s="1"/>
  <c r="AW117" i="12"/>
  <c r="AX117" i="12" s="1"/>
  <c r="AW118" i="12"/>
  <c r="AX118" i="12" s="1"/>
  <c r="AW119" i="12"/>
  <c r="AX119" i="12" s="1"/>
  <c r="AW120" i="12"/>
  <c r="AX120" i="12" s="1"/>
  <c r="AW121" i="12"/>
  <c r="AX121" i="12" s="1"/>
  <c r="AW122" i="12"/>
  <c r="AX122" i="12" s="1"/>
  <c r="AW123" i="12"/>
  <c r="AX123" i="12" s="1"/>
  <c r="AW124" i="12"/>
  <c r="AX124" i="12" s="1"/>
  <c r="AW125" i="12"/>
  <c r="AX125" i="12" s="1"/>
  <c r="AW126" i="12"/>
  <c r="AX126" i="12" s="1"/>
  <c r="AW127" i="12"/>
  <c r="AX127" i="12" s="1"/>
  <c r="AW128" i="12"/>
  <c r="AX128" i="12" s="1"/>
  <c r="AW129" i="12"/>
  <c r="AX129" i="12" s="1"/>
  <c r="AW130" i="12"/>
  <c r="AX130" i="12" s="1"/>
  <c r="AW131" i="12"/>
  <c r="AX131" i="12" s="1"/>
  <c r="AW132" i="12"/>
  <c r="AX132" i="12" s="1"/>
  <c r="AW133" i="12"/>
  <c r="AX133" i="12" s="1"/>
  <c r="AW134" i="12"/>
  <c r="AX134" i="12" s="1"/>
  <c r="AW135" i="12"/>
  <c r="AX135" i="12" s="1"/>
  <c r="AW136" i="12"/>
  <c r="AX136" i="12" s="1"/>
  <c r="AW137" i="12"/>
  <c r="AX137" i="12" s="1"/>
  <c r="AW138" i="12"/>
  <c r="AX138" i="12" s="1"/>
  <c r="AW139" i="12"/>
  <c r="AX139" i="12" s="1"/>
  <c r="AW140" i="12"/>
  <c r="AX140" i="12" s="1"/>
  <c r="AW141" i="12"/>
  <c r="AX141" i="12" s="1"/>
  <c r="AW142" i="12"/>
  <c r="AX142" i="12" s="1"/>
  <c r="AW143" i="12"/>
  <c r="AX143" i="12" s="1"/>
  <c r="AW144" i="12"/>
  <c r="AX144" i="12" s="1"/>
  <c r="AW145" i="12"/>
  <c r="AX145" i="12" s="1"/>
  <c r="AW146" i="12"/>
  <c r="AX146" i="12" s="1"/>
  <c r="AW147" i="12"/>
  <c r="AX147" i="12" s="1"/>
  <c r="AW148" i="12"/>
  <c r="AX148" i="12" s="1"/>
  <c r="AW149" i="12"/>
  <c r="AX149" i="12" s="1"/>
  <c r="AW150" i="12"/>
  <c r="AX150" i="12" s="1"/>
  <c r="AW151" i="12"/>
  <c r="AX151" i="12" s="1"/>
  <c r="AW152" i="12"/>
  <c r="AX152" i="12" s="1"/>
  <c r="AW153" i="12"/>
  <c r="AX153" i="12" s="1"/>
  <c r="AW154" i="12"/>
  <c r="AX154" i="12" s="1"/>
  <c r="AW155" i="12"/>
  <c r="AX155" i="12" s="1"/>
  <c r="AW156" i="12"/>
  <c r="AX156" i="12" s="1"/>
  <c r="AW157" i="12"/>
  <c r="AX157" i="12" s="1"/>
  <c r="AW158" i="12"/>
  <c r="AX158" i="12" s="1"/>
  <c r="AW159" i="12"/>
  <c r="AX159" i="12" s="1"/>
  <c r="AW160" i="12"/>
  <c r="AX160" i="12" s="1"/>
  <c r="AW161" i="12"/>
  <c r="AX161" i="12" s="1"/>
  <c r="AW162" i="12"/>
  <c r="AX162" i="12" s="1"/>
  <c r="AW163" i="12"/>
  <c r="AX163" i="12" s="1"/>
  <c r="AW164" i="12"/>
  <c r="AX164" i="12" s="1"/>
  <c r="AW165" i="12"/>
  <c r="AX165" i="12" s="1"/>
  <c r="AW166" i="12"/>
  <c r="AX166" i="12" s="1"/>
  <c r="AW167" i="12"/>
  <c r="AX167" i="12" s="1"/>
  <c r="AW168" i="12"/>
  <c r="AX168" i="12" s="1"/>
  <c r="AW169" i="12"/>
  <c r="AX169" i="12" s="1"/>
  <c r="AW170" i="12"/>
  <c r="AX170" i="12" s="1"/>
  <c r="AW171" i="12"/>
  <c r="AX171" i="12" s="1"/>
  <c r="AW172" i="12"/>
  <c r="AX172" i="12" s="1"/>
  <c r="AW173" i="12"/>
  <c r="AX173" i="12" s="1"/>
  <c r="AW174" i="12"/>
  <c r="AX174" i="12" s="1"/>
  <c r="AW175" i="12"/>
  <c r="AX175" i="12" s="1"/>
  <c r="AW176" i="12"/>
  <c r="AX176" i="12" s="1"/>
  <c r="AW177" i="12"/>
  <c r="AX177" i="12" s="1"/>
  <c r="AW178" i="12"/>
  <c r="AX178" i="12" s="1"/>
  <c r="AW179" i="12"/>
  <c r="AX179" i="12" s="1"/>
  <c r="AW180" i="12"/>
  <c r="AX180" i="12" s="1"/>
  <c r="AW181" i="12"/>
  <c r="AX181" i="12" s="1"/>
  <c r="AW182" i="12"/>
  <c r="AX182" i="12" s="1"/>
  <c r="AW183" i="12"/>
  <c r="AX183" i="12" s="1"/>
  <c r="AW184" i="12"/>
  <c r="AX184" i="12" s="1"/>
  <c r="AW185" i="12"/>
  <c r="AX185" i="12" s="1"/>
  <c r="AW186" i="12"/>
  <c r="AX186" i="12" s="1"/>
  <c r="AW187" i="12"/>
  <c r="AX187" i="12" s="1"/>
  <c r="AW188" i="12"/>
  <c r="AX188" i="12" s="1"/>
  <c r="AW189" i="12"/>
  <c r="AX189" i="12" s="1"/>
  <c r="AW190" i="12"/>
  <c r="AX190" i="12" s="1"/>
  <c r="AW192" i="12"/>
  <c r="AX192" i="12" s="1"/>
  <c r="AW193" i="12"/>
  <c r="AX193" i="12" s="1"/>
  <c r="AW194" i="12"/>
  <c r="AX194" i="12" s="1"/>
  <c r="AW195" i="12"/>
  <c r="AX195" i="12" s="1"/>
  <c r="AW196" i="12"/>
  <c r="AX196" i="12" s="1"/>
  <c r="AW197" i="12"/>
  <c r="AX197" i="12" s="1"/>
  <c r="AW198" i="12"/>
  <c r="AX198" i="12" s="1"/>
  <c r="AW199" i="12"/>
  <c r="AX199" i="12" s="1"/>
  <c r="AW200" i="12"/>
  <c r="AX200" i="12" s="1"/>
  <c r="AW201" i="12"/>
  <c r="AX201" i="12" s="1"/>
  <c r="AW202" i="12"/>
  <c r="AX202" i="12" s="1"/>
  <c r="AW203" i="12"/>
  <c r="AX203" i="12" s="1"/>
  <c r="AW204" i="12"/>
  <c r="AX204" i="12" s="1"/>
  <c r="AW205" i="12"/>
  <c r="AX205" i="12" s="1"/>
  <c r="AW206" i="12"/>
  <c r="AX206" i="12" s="1"/>
  <c r="AW207" i="12"/>
  <c r="AX207" i="12" s="1"/>
  <c r="AW208" i="12"/>
  <c r="AX208" i="12" s="1"/>
  <c r="AW209" i="12"/>
  <c r="AX209" i="12" s="1"/>
  <c r="AW210" i="12"/>
  <c r="AX210" i="12" s="1"/>
  <c r="AW211" i="12"/>
  <c r="AX211" i="12" s="1"/>
  <c r="AW212" i="12"/>
  <c r="AX212" i="12" s="1"/>
  <c r="AW213" i="12"/>
  <c r="AX213" i="12" s="1"/>
  <c r="AW214" i="12"/>
  <c r="AX214" i="12" s="1"/>
  <c r="AW215" i="12"/>
  <c r="AX215" i="12" s="1"/>
  <c r="AW216" i="12"/>
  <c r="AX216" i="12" s="1"/>
  <c r="AW217" i="12"/>
  <c r="AX217" i="12" s="1"/>
  <c r="AW218" i="12"/>
  <c r="AX218" i="12" s="1"/>
  <c r="AW219" i="12"/>
  <c r="AX219" i="12" s="1"/>
  <c r="AW220" i="12"/>
  <c r="AX220" i="12" s="1"/>
  <c r="AW221" i="12"/>
  <c r="AX221" i="12" s="1"/>
  <c r="AW222" i="12"/>
  <c r="AX222" i="12" s="1"/>
  <c r="AW223" i="12"/>
  <c r="AX223" i="12" s="1"/>
  <c r="AW224" i="12"/>
  <c r="AX224" i="12" s="1"/>
  <c r="AW225" i="12"/>
  <c r="AX225" i="12" s="1"/>
  <c r="AW226" i="12"/>
  <c r="AX226" i="12" s="1"/>
  <c r="AW227" i="12"/>
  <c r="AX227" i="12" s="1"/>
  <c r="AW228" i="12"/>
  <c r="AX228" i="12" s="1"/>
  <c r="AW229" i="12"/>
  <c r="AX229" i="12" s="1"/>
  <c r="AW230" i="12"/>
  <c r="AX230" i="12" s="1"/>
  <c r="AW231" i="12"/>
  <c r="AX231" i="12" s="1"/>
  <c r="AW232" i="12"/>
  <c r="AX232" i="12" s="1"/>
  <c r="AW233" i="12"/>
  <c r="AX233" i="12" s="1"/>
  <c r="AW234" i="12"/>
  <c r="AX234" i="12" s="1"/>
  <c r="AW235" i="12"/>
  <c r="AX235" i="12" s="1"/>
  <c r="AW236" i="12"/>
  <c r="AX236" i="12" s="1"/>
  <c r="AW237" i="12"/>
  <c r="AX237" i="12" s="1"/>
  <c r="AW238" i="12"/>
  <c r="AX238" i="12" s="1"/>
  <c r="AW239" i="12"/>
  <c r="AX239" i="12" s="1"/>
  <c r="AW240" i="12"/>
  <c r="AX240" i="12" s="1"/>
  <c r="AW241" i="12"/>
  <c r="AX241" i="12" s="1"/>
  <c r="AW242" i="12"/>
  <c r="AX242" i="12" s="1"/>
  <c r="AW243" i="12"/>
  <c r="AX243" i="12" s="1"/>
  <c r="AW244" i="12"/>
  <c r="AX244" i="12" s="1"/>
  <c r="AW245" i="12"/>
  <c r="AX245" i="12" s="1"/>
  <c r="AW246" i="12"/>
  <c r="AX246" i="12" s="1"/>
  <c r="AW247" i="12"/>
  <c r="AX247" i="12" s="1"/>
  <c r="AW248" i="12"/>
  <c r="AX248" i="12" s="1"/>
  <c r="AW249" i="12"/>
  <c r="AX249" i="12" s="1"/>
  <c r="AW250" i="12"/>
  <c r="AX250" i="12" s="1"/>
  <c r="AW251" i="12"/>
  <c r="AX251" i="12" s="1"/>
  <c r="AW252" i="12"/>
  <c r="AX252" i="12" s="1"/>
  <c r="AW253" i="12"/>
  <c r="AX253" i="12" s="1"/>
  <c r="AW254" i="12"/>
  <c r="AX254" i="12" s="1"/>
  <c r="AW255" i="12"/>
  <c r="AX255" i="12" s="1"/>
  <c r="AW256" i="12"/>
  <c r="AX256" i="12" s="1"/>
  <c r="AW257" i="12"/>
  <c r="AX257" i="12" s="1"/>
  <c r="AW258" i="12"/>
  <c r="AX258" i="12" s="1"/>
  <c r="AW259" i="12"/>
  <c r="AX259" i="12" s="1"/>
  <c r="AW260" i="12"/>
  <c r="AX260" i="12" s="1"/>
  <c r="AW261" i="12"/>
  <c r="AX261" i="12" s="1"/>
  <c r="AW262" i="12"/>
  <c r="AX262" i="12" s="1"/>
  <c r="AW263" i="12"/>
  <c r="AX263" i="12" s="1"/>
  <c r="AW264" i="12"/>
  <c r="AX264" i="12" s="1"/>
  <c r="AW265" i="12"/>
  <c r="AX265" i="12" s="1"/>
  <c r="AW266" i="12"/>
  <c r="AX266" i="12" s="1"/>
  <c r="AW267" i="12"/>
  <c r="AX267" i="12" s="1"/>
  <c r="AW268" i="12"/>
  <c r="AX268" i="12" s="1"/>
  <c r="AW269" i="12"/>
  <c r="AX269" i="12" s="1"/>
  <c r="AW270" i="12"/>
  <c r="AX270" i="12" s="1"/>
  <c r="AW271" i="12"/>
  <c r="AX271" i="12" s="1"/>
  <c r="AW272" i="12"/>
  <c r="AX272" i="12" s="1"/>
  <c r="AW273" i="12"/>
  <c r="AX273" i="12" s="1"/>
  <c r="AW274" i="12"/>
  <c r="AX274" i="12" s="1"/>
  <c r="AW275" i="12"/>
  <c r="AX275" i="12" s="1"/>
  <c r="AW276" i="12"/>
  <c r="AX276" i="12" s="1"/>
  <c r="AW277" i="12"/>
  <c r="AX277" i="12" s="1"/>
  <c r="AW278" i="12"/>
  <c r="AX278" i="12" s="1"/>
  <c r="AW279" i="12"/>
  <c r="AX279" i="12" s="1"/>
  <c r="AW280" i="12"/>
  <c r="AX280" i="12" s="1"/>
  <c r="AW281" i="12"/>
  <c r="AX281" i="12" s="1"/>
  <c r="AW282" i="12"/>
  <c r="AX282" i="12" s="1"/>
  <c r="AW283" i="12"/>
  <c r="AX283" i="12" s="1"/>
  <c r="AW284" i="12"/>
  <c r="AX284" i="12" s="1"/>
  <c r="AW285" i="12"/>
  <c r="AX285" i="12" s="1"/>
  <c r="AW286" i="12"/>
  <c r="AX286" i="12" s="1"/>
  <c r="AW287" i="12"/>
  <c r="AX287" i="12" s="1"/>
  <c r="AW288" i="12"/>
  <c r="AX288" i="12" s="1"/>
  <c r="AW289" i="12"/>
  <c r="AX289" i="12" s="1"/>
  <c r="AW290" i="12"/>
  <c r="AX290" i="12" s="1"/>
  <c r="AW291" i="12"/>
  <c r="AX291" i="12" s="1"/>
  <c r="AW292" i="12"/>
  <c r="AX292" i="12" s="1"/>
  <c r="AW293" i="12"/>
  <c r="AX293" i="12" s="1"/>
  <c r="AW294" i="12"/>
  <c r="AX294" i="12" s="1"/>
  <c r="AW295" i="12"/>
  <c r="AX295" i="12" s="1"/>
  <c r="AW296" i="12"/>
  <c r="AX296" i="12" s="1"/>
  <c r="AW297" i="12"/>
  <c r="AX297" i="12" s="1"/>
  <c r="AW298" i="12"/>
  <c r="AX298" i="12" s="1"/>
  <c r="AW299" i="12"/>
  <c r="AX299" i="12" s="1"/>
  <c r="AW300" i="12"/>
  <c r="AX300" i="12" s="1"/>
  <c r="AW301" i="12"/>
  <c r="AX301" i="12" s="1"/>
  <c r="AW302" i="12"/>
  <c r="AX302" i="12" s="1"/>
  <c r="AW303" i="12"/>
  <c r="AX303" i="12" s="1"/>
  <c r="AW304" i="12"/>
  <c r="AX304" i="12" s="1"/>
  <c r="AW305" i="12"/>
  <c r="AX305" i="12" s="1"/>
  <c r="AW306" i="12"/>
  <c r="AX306" i="12" s="1"/>
  <c r="AW307" i="12"/>
  <c r="AX307" i="12" s="1"/>
  <c r="AW308" i="12"/>
  <c r="AX308" i="12" s="1"/>
  <c r="AW309" i="12"/>
  <c r="AX309" i="12" s="1"/>
  <c r="AW310" i="12"/>
  <c r="AX310" i="12" s="1"/>
  <c r="AW312" i="12"/>
  <c r="AX312" i="12" s="1"/>
  <c r="AW313" i="12"/>
  <c r="AX313" i="12" s="1"/>
  <c r="AW314" i="12"/>
  <c r="AX314" i="12" s="1"/>
  <c r="AW315" i="12"/>
  <c r="AX315" i="12" s="1"/>
  <c r="AW316" i="12"/>
  <c r="AX316" i="12" s="1"/>
  <c r="AW317" i="12"/>
  <c r="AX317" i="12" s="1"/>
  <c r="AW318" i="12"/>
  <c r="AX318" i="12" s="1"/>
  <c r="AW319" i="12"/>
  <c r="AX319" i="12" s="1"/>
  <c r="AW320" i="12"/>
  <c r="AX320" i="12" s="1"/>
  <c r="AW321" i="12"/>
  <c r="AX321" i="12" s="1"/>
  <c r="AW322" i="12"/>
  <c r="AX322" i="12" s="1"/>
  <c r="AW323" i="12"/>
  <c r="AX323" i="12" s="1"/>
  <c r="AW324" i="12"/>
  <c r="AX324" i="12" s="1"/>
  <c r="AW325" i="12"/>
  <c r="AX325" i="12" s="1"/>
  <c r="AW326" i="12"/>
  <c r="AX326" i="12" s="1"/>
  <c r="AW327" i="12"/>
  <c r="AX327" i="12" s="1"/>
  <c r="AW328" i="12"/>
  <c r="AX328" i="12" s="1"/>
  <c r="AW329" i="12"/>
  <c r="AX329" i="12" s="1"/>
  <c r="AW330" i="12"/>
  <c r="AX330" i="12" s="1"/>
  <c r="AW331" i="12"/>
  <c r="AX331" i="12" s="1"/>
  <c r="AW332" i="12"/>
  <c r="AX332" i="12" s="1"/>
  <c r="AW333" i="12"/>
  <c r="AX333" i="12" s="1"/>
  <c r="AW334" i="12"/>
  <c r="AX334" i="12" s="1"/>
  <c r="AW335" i="12"/>
  <c r="AX335" i="12" s="1"/>
  <c r="AW336" i="12"/>
  <c r="AX336" i="12" s="1"/>
  <c r="AW337" i="12"/>
  <c r="AX337" i="12" s="1"/>
  <c r="AW338" i="12"/>
  <c r="AX338" i="12" s="1"/>
  <c r="AW339" i="12"/>
  <c r="AX339" i="12" s="1"/>
  <c r="AW340" i="12"/>
  <c r="AX340" i="12" s="1"/>
  <c r="AW341" i="12"/>
  <c r="AX341" i="12" s="1"/>
  <c r="AW342" i="12"/>
  <c r="AX342" i="12" s="1"/>
  <c r="AW343" i="12"/>
  <c r="AX343" i="12" s="1"/>
  <c r="AW344" i="12"/>
  <c r="AX344" i="12" s="1"/>
  <c r="AW345" i="12"/>
  <c r="AX345" i="12" s="1"/>
  <c r="AW346" i="12"/>
  <c r="AX346" i="12" s="1"/>
  <c r="AW347" i="12"/>
  <c r="AX347" i="12" s="1"/>
  <c r="AW348" i="12"/>
  <c r="AX348" i="12" s="1"/>
  <c r="AW349" i="12"/>
  <c r="AX349" i="12" s="1"/>
  <c r="AW350" i="12"/>
  <c r="AX350" i="12" s="1"/>
  <c r="AW351" i="12"/>
  <c r="AX351" i="12" s="1"/>
  <c r="AW352" i="12"/>
  <c r="AX352" i="12" s="1"/>
  <c r="AW353" i="12"/>
  <c r="AX353" i="12" s="1"/>
  <c r="AW354" i="12"/>
  <c r="AX354" i="12" s="1"/>
  <c r="AW355" i="12"/>
  <c r="AX355" i="12" s="1"/>
  <c r="AW356" i="12"/>
  <c r="AX356" i="12" s="1"/>
  <c r="AW357" i="12"/>
  <c r="AX357" i="12" s="1"/>
  <c r="AW358" i="12"/>
  <c r="AX358" i="12" s="1"/>
  <c r="AW359" i="12"/>
  <c r="AX359" i="12" s="1"/>
  <c r="AW360" i="12"/>
  <c r="AX360" i="12" s="1"/>
  <c r="AW361" i="12"/>
  <c r="AX361" i="12" s="1"/>
  <c r="AW362" i="12"/>
  <c r="AX362" i="12" s="1"/>
  <c r="AW363" i="12"/>
  <c r="AX363" i="12" s="1"/>
  <c r="AW364" i="12"/>
  <c r="AX364" i="12" s="1"/>
  <c r="AW365" i="12"/>
  <c r="AX365" i="12" s="1"/>
  <c r="AW366" i="12"/>
  <c r="AX366" i="12" s="1"/>
  <c r="AW311" i="12" l="1"/>
  <c r="AX311" i="12" s="1"/>
  <c r="AW7" i="12"/>
  <c r="AX7" i="12" s="1"/>
  <c r="AW8" i="12"/>
  <c r="AX8" i="12" s="1"/>
  <c r="AW11" i="12"/>
  <c r="AX11" i="12" s="1"/>
  <c r="AW191" i="12"/>
  <c r="AX191" i="12" s="1"/>
  <c r="AK366" i="12" l="1"/>
  <c r="AI366" i="12"/>
  <c r="AG366" i="12"/>
  <c r="AE366" i="12"/>
  <c r="AC366" i="12"/>
  <c r="AA366" i="12"/>
  <c r="Y366" i="12"/>
  <c r="AK365" i="12"/>
  <c r="AI365" i="12"/>
  <c r="AG365" i="12"/>
  <c r="AE365" i="12"/>
  <c r="AC365" i="12"/>
  <c r="AA365" i="12"/>
  <c r="Y365" i="12"/>
  <c r="AK364" i="12"/>
  <c r="AI364" i="12"/>
  <c r="AG364" i="12"/>
  <c r="AE364" i="12"/>
  <c r="AC364" i="12"/>
  <c r="AA364" i="12"/>
  <c r="Y364" i="12"/>
  <c r="AK363" i="12"/>
  <c r="AI363" i="12"/>
  <c r="AG363" i="12"/>
  <c r="AE363" i="12"/>
  <c r="AC363" i="12"/>
  <c r="AA363" i="12"/>
  <c r="Y363" i="12"/>
  <c r="AK362" i="12"/>
  <c r="AI362" i="12"/>
  <c r="AG362" i="12"/>
  <c r="AE362" i="12"/>
  <c r="AC362" i="12"/>
  <c r="AA362" i="12"/>
  <c r="Y362" i="12"/>
  <c r="AK361" i="12"/>
  <c r="AI361" i="12"/>
  <c r="AG361" i="12"/>
  <c r="AE361" i="12"/>
  <c r="AC361" i="12"/>
  <c r="AA361" i="12"/>
  <c r="Y361" i="12"/>
  <c r="Q361" i="12"/>
  <c r="R361" i="12" s="1"/>
  <c r="P361" i="12"/>
  <c r="N361" i="12"/>
  <c r="C361" i="12"/>
  <c r="AK360" i="12"/>
  <c r="AI360" i="12"/>
  <c r="AG360" i="12"/>
  <c r="AE360" i="12"/>
  <c r="AC360" i="12"/>
  <c r="AA360" i="12"/>
  <c r="Y360" i="12"/>
  <c r="AK359" i="12"/>
  <c r="AI359" i="12"/>
  <c r="AG359" i="12"/>
  <c r="AE359" i="12"/>
  <c r="AC359" i="12"/>
  <c r="AA359" i="12"/>
  <c r="Y359" i="12"/>
  <c r="AK358" i="12"/>
  <c r="AI358" i="12"/>
  <c r="AG358" i="12"/>
  <c r="AE358" i="12"/>
  <c r="AC358" i="12"/>
  <c r="AA358" i="12"/>
  <c r="Y358" i="12"/>
  <c r="AK357" i="12"/>
  <c r="AI357" i="12"/>
  <c r="AG357" i="12"/>
  <c r="AE357" i="12"/>
  <c r="AC357" i="12"/>
  <c r="AA357" i="12"/>
  <c r="Y357" i="12"/>
  <c r="AK356" i="12"/>
  <c r="AI356" i="12"/>
  <c r="AG356" i="12"/>
  <c r="AE356" i="12"/>
  <c r="AC356" i="12"/>
  <c r="AA356" i="12"/>
  <c r="Y356" i="12"/>
  <c r="AK355" i="12"/>
  <c r="AI355" i="12"/>
  <c r="AG355" i="12"/>
  <c r="AE355" i="12"/>
  <c r="AC355" i="12"/>
  <c r="AA355" i="12"/>
  <c r="Y355" i="12"/>
  <c r="Q355" i="12"/>
  <c r="R355" i="12" s="1"/>
  <c r="P355" i="12"/>
  <c r="N355" i="12"/>
  <c r="C355" i="12"/>
  <c r="AK354" i="12"/>
  <c r="AI354" i="12"/>
  <c r="AG354" i="12"/>
  <c r="AE354" i="12"/>
  <c r="AC354" i="12"/>
  <c r="AA354" i="12"/>
  <c r="Y354" i="12"/>
  <c r="AK353" i="12"/>
  <c r="AI353" i="12"/>
  <c r="AG353" i="12"/>
  <c r="AE353" i="12"/>
  <c r="AC353" i="12"/>
  <c r="AA353" i="12"/>
  <c r="Y353" i="12"/>
  <c r="AK352" i="12"/>
  <c r="AI352" i="12"/>
  <c r="AG352" i="12"/>
  <c r="AE352" i="12"/>
  <c r="AC352" i="12"/>
  <c r="AA352" i="12"/>
  <c r="Y352" i="12"/>
  <c r="AK351" i="12"/>
  <c r="AI351" i="12"/>
  <c r="AG351" i="12"/>
  <c r="AE351" i="12"/>
  <c r="AC351" i="12"/>
  <c r="AA351" i="12"/>
  <c r="Y351" i="12"/>
  <c r="AK350" i="12"/>
  <c r="AI350" i="12"/>
  <c r="AG350" i="12"/>
  <c r="AE350" i="12"/>
  <c r="AC350" i="12"/>
  <c r="AA350" i="12"/>
  <c r="Y350" i="12"/>
  <c r="AK349" i="12"/>
  <c r="AI349" i="12"/>
  <c r="AG349" i="12"/>
  <c r="AE349" i="12"/>
  <c r="AC349" i="12"/>
  <c r="AA349" i="12"/>
  <c r="Y349" i="12"/>
  <c r="Q349" i="12"/>
  <c r="R349" i="12" s="1"/>
  <c r="P349" i="12"/>
  <c r="N349" i="12"/>
  <c r="C349" i="12"/>
  <c r="AK348" i="12"/>
  <c r="AI348" i="12"/>
  <c r="AG348" i="12"/>
  <c r="AE348" i="12"/>
  <c r="AC348" i="12"/>
  <c r="AA348" i="12"/>
  <c r="Y348" i="12"/>
  <c r="AK347" i="12"/>
  <c r="AI347" i="12"/>
  <c r="AG347" i="12"/>
  <c r="AE347" i="12"/>
  <c r="AC347" i="12"/>
  <c r="AA347" i="12"/>
  <c r="Y347" i="12"/>
  <c r="AK346" i="12"/>
  <c r="AI346" i="12"/>
  <c r="AG346" i="12"/>
  <c r="AE346" i="12"/>
  <c r="AC346" i="12"/>
  <c r="AA346" i="12"/>
  <c r="Y346" i="12"/>
  <c r="AK345" i="12"/>
  <c r="AI345" i="12"/>
  <c r="AG345" i="12"/>
  <c r="AE345" i="12"/>
  <c r="AC345" i="12"/>
  <c r="AA345" i="12"/>
  <c r="Y345" i="12"/>
  <c r="AK344" i="12"/>
  <c r="AI344" i="12"/>
  <c r="AG344" i="12"/>
  <c r="AE344" i="12"/>
  <c r="AC344" i="12"/>
  <c r="AA344" i="12"/>
  <c r="Y344" i="12"/>
  <c r="AK343" i="12"/>
  <c r="AI343" i="12"/>
  <c r="AG343" i="12"/>
  <c r="AE343" i="12"/>
  <c r="AC343" i="12"/>
  <c r="AA343" i="12"/>
  <c r="Y343" i="12"/>
  <c r="Q343" i="12"/>
  <c r="R343" i="12" s="1"/>
  <c r="P343" i="12"/>
  <c r="N343" i="12"/>
  <c r="C343" i="12"/>
  <c r="AK342" i="12"/>
  <c r="AI342" i="12"/>
  <c r="AG342" i="12"/>
  <c r="AE342" i="12"/>
  <c r="AC342" i="12"/>
  <c r="AA342" i="12"/>
  <c r="Y342" i="12"/>
  <c r="AK341" i="12"/>
  <c r="AI341" i="12"/>
  <c r="AG341" i="12"/>
  <c r="AE341" i="12"/>
  <c r="AC341" i="12"/>
  <c r="AA341" i="12"/>
  <c r="Y341" i="12"/>
  <c r="AK340" i="12"/>
  <c r="AI340" i="12"/>
  <c r="AG340" i="12"/>
  <c r="AE340" i="12"/>
  <c r="AC340" i="12"/>
  <c r="AA340" i="12"/>
  <c r="Y340" i="12"/>
  <c r="AK339" i="12"/>
  <c r="AI339" i="12"/>
  <c r="AG339" i="12"/>
  <c r="AE339" i="12"/>
  <c r="AC339" i="12"/>
  <c r="AA339" i="12"/>
  <c r="Y339" i="12"/>
  <c r="AK338" i="12"/>
  <c r="AI338" i="12"/>
  <c r="AG338" i="12"/>
  <c r="AE338" i="12"/>
  <c r="AC338" i="12"/>
  <c r="AA338" i="12"/>
  <c r="Y338" i="12"/>
  <c r="AK337" i="12"/>
  <c r="AI337" i="12"/>
  <c r="AG337" i="12"/>
  <c r="AE337" i="12"/>
  <c r="AC337" i="12"/>
  <c r="AA337" i="12"/>
  <c r="Y337" i="12"/>
  <c r="Q337" i="12"/>
  <c r="R337" i="12" s="1"/>
  <c r="P337" i="12"/>
  <c r="N337" i="12"/>
  <c r="C337" i="12"/>
  <c r="AK336" i="12"/>
  <c r="AI336" i="12"/>
  <c r="AG336" i="12"/>
  <c r="AE336" i="12"/>
  <c r="AC336" i="12"/>
  <c r="AA336" i="12"/>
  <c r="Y336" i="12"/>
  <c r="AK335" i="12"/>
  <c r="AI335" i="12"/>
  <c r="AG335" i="12"/>
  <c r="AE335" i="12"/>
  <c r="AC335" i="12"/>
  <c r="AA335" i="12"/>
  <c r="Y335" i="12"/>
  <c r="AK334" i="12"/>
  <c r="AI334" i="12"/>
  <c r="AG334" i="12"/>
  <c r="AE334" i="12"/>
  <c r="AC334" i="12"/>
  <c r="AA334" i="12"/>
  <c r="Y334" i="12"/>
  <c r="AK333" i="12"/>
  <c r="AI333" i="12"/>
  <c r="AG333" i="12"/>
  <c r="AE333" i="12"/>
  <c r="AC333" i="12"/>
  <c r="AA333" i="12"/>
  <c r="Y333" i="12"/>
  <c r="AK332" i="12"/>
  <c r="AI332" i="12"/>
  <c r="AG332" i="12"/>
  <c r="AE332" i="12"/>
  <c r="AC332" i="12"/>
  <c r="AA332" i="12"/>
  <c r="Y332" i="12"/>
  <c r="AK331" i="12"/>
  <c r="AI331" i="12"/>
  <c r="AG331" i="12"/>
  <c r="AE331" i="12"/>
  <c r="AC331" i="12"/>
  <c r="AA331" i="12"/>
  <c r="Y331" i="12"/>
  <c r="Q331" i="12"/>
  <c r="R331" i="12" s="1"/>
  <c r="P331" i="12"/>
  <c r="N331" i="12"/>
  <c r="C331" i="12"/>
  <c r="AK330" i="12"/>
  <c r="AI330" i="12"/>
  <c r="AG330" i="12"/>
  <c r="AE330" i="12"/>
  <c r="AC330" i="12"/>
  <c r="AA330" i="12"/>
  <c r="Y330" i="12"/>
  <c r="AK329" i="12"/>
  <c r="AI329" i="12"/>
  <c r="AG329" i="12"/>
  <c r="AE329" i="12"/>
  <c r="AC329" i="12"/>
  <c r="AA329" i="12"/>
  <c r="Y329" i="12"/>
  <c r="AK328" i="12"/>
  <c r="AI328" i="12"/>
  <c r="AG328" i="12"/>
  <c r="AE328" i="12"/>
  <c r="AC328" i="12"/>
  <c r="AA328" i="12"/>
  <c r="Y328" i="12"/>
  <c r="AK327" i="12"/>
  <c r="AI327" i="12"/>
  <c r="AG327" i="12"/>
  <c r="AE327" i="12"/>
  <c r="AC327" i="12"/>
  <c r="AA327" i="12"/>
  <c r="Y327" i="12"/>
  <c r="AK326" i="12"/>
  <c r="AI326" i="12"/>
  <c r="AG326" i="12"/>
  <c r="AE326" i="12"/>
  <c r="AC326" i="12"/>
  <c r="AA326" i="12"/>
  <c r="Y326" i="12"/>
  <c r="AK325" i="12"/>
  <c r="AI325" i="12"/>
  <c r="AG325" i="12"/>
  <c r="AE325" i="12"/>
  <c r="AC325" i="12"/>
  <c r="AA325" i="12"/>
  <c r="Y325" i="12"/>
  <c r="Q325" i="12"/>
  <c r="R325" i="12" s="1"/>
  <c r="P325" i="12"/>
  <c r="N325" i="12"/>
  <c r="C325" i="12"/>
  <c r="AK324" i="12"/>
  <c r="AI324" i="12"/>
  <c r="AG324" i="12"/>
  <c r="AE324" i="12"/>
  <c r="AC324" i="12"/>
  <c r="AA324" i="12"/>
  <c r="Y324" i="12"/>
  <c r="AK323" i="12"/>
  <c r="AI323" i="12"/>
  <c r="AG323" i="12"/>
  <c r="AE323" i="12"/>
  <c r="AC323" i="12"/>
  <c r="AA323" i="12"/>
  <c r="Y323" i="12"/>
  <c r="AK322" i="12"/>
  <c r="AI322" i="12"/>
  <c r="AG322" i="12"/>
  <c r="AE322" i="12"/>
  <c r="AC322" i="12"/>
  <c r="AA322" i="12"/>
  <c r="Y322" i="12"/>
  <c r="AK321" i="12"/>
  <c r="AI321" i="12"/>
  <c r="AG321" i="12"/>
  <c r="AE321" i="12"/>
  <c r="AC321" i="12"/>
  <c r="AA321" i="12"/>
  <c r="Y321" i="12"/>
  <c r="AK320" i="12"/>
  <c r="AI320" i="12"/>
  <c r="AG320" i="12"/>
  <c r="AE320" i="12"/>
  <c r="AC320" i="12"/>
  <c r="AA320" i="12"/>
  <c r="Y320" i="12"/>
  <c r="AK319" i="12"/>
  <c r="AI319" i="12"/>
  <c r="AG319" i="12"/>
  <c r="AE319" i="12"/>
  <c r="AC319" i="12"/>
  <c r="AA319" i="12"/>
  <c r="Y319" i="12"/>
  <c r="Q319" i="12"/>
  <c r="R319" i="12" s="1"/>
  <c r="P319" i="12"/>
  <c r="N319" i="12"/>
  <c r="C319" i="12"/>
  <c r="AK318" i="12"/>
  <c r="AI318" i="12"/>
  <c r="AG318" i="12"/>
  <c r="AE318" i="12"/>
  <c r="AC318" i="12"/>
  <c r="AA318" i="12"/>
  <c r="Y318" i="12"/>
  <c r="AK317" i="12"/>
  <c r="AI317" i="12"/>
  <c r="AG317" i="12"/>
  <c r="AE317" i="12"/>
  <c r="AC317" i="12"/>
  <c r="AA317" i="12"/>
  <c r="Y317" i="12"/>
  <c r="AK316" i="12"/>
  <c r="AI316" i="12"/>
  <c r="AG316" i="12"/>
  <c r="AE316" i="12"/>
  <c r="AC316" i="12"/>
  <c r="AA316" i="12"/>
  <c r="Y316" i="12"/>
  <c r="AK315" i="12"/>
  <c r="AI315" i="12"/>
  <c r="AG315" i="12"/>
  <c r="AE315" i="12"/>
  <c r="AC315" i="12"/>
  <c r="AA315" i="12"/>
  <c r="Y315" i="12"/>
  <c r="AK314" i="12"/>
  <c r="AI314" i="12"/>
  <c r="AG314" i="12"/>
  <c r="AE314" i="12"/>
  <c r="AC314" i="12"/>
  <c r="AA314" i="12"/>
  <c r="Y314" i="12"/>
  <c r="AK313" i="12"/>
  <c r="AI313" i="12"/>
  <c r="AG313" i="12"/>
  <c r="AE313" i="12"/>
  <c r="AC313" i="12"/>
  <c r="AA313" i="12"/>
  <c r="Y313" i="12"/>
  <c r="Q313" i="12"/>
  <c r="R313" i="12" s="1"/>
  <c r="P313" i="12"/>
  <c r="N313" i="12"/>
  <c r="C313" i="12"/>
  <c r="AK312" i="12"/>
  <c r="AI312" i="12"/>
  <c r="AG312" i="12"/>
  <c r="AE312" i="12"/>
  <c r="AC312" i="12"/>
  <c r="AA312" i="12"/>
  <c r="Y312" i="12"/>
  <c r="AK311" i="12"/>
  <c r="AI311" i="12"/>
  <c r="AG311" i="12"/>
  <c r="AE311" i="12"/>
  <c r="AC311" i="12"/>
  <c r="AA311" i="12"/>
  <c r="Y311" i="12"/>
  <c r="AK310" i="12"/>
  <c r="AI310" i="12"/>
  <c r="AG310" i="12"/>
  <c r="AE310" i="12"/>
  <c r="AC310" i="12"/>
  <c r="AA310" i="12"/>
  <c r="Y310" i="12"/>
  <c r="AK309" i="12"/>
  <c r="AI309" i="12"/>
  <c r="AG309" i="12"/>
  <c r="AE309" i="12"/>
  <c r="AC309" i="12"/>
  <c r="AA309" i="12"/>
  <c r="Y309" i="12"/>
  <c r="AK308" i="12"/>
  <c r="AI308" i="12"/>
  <c r="AG308" i="12"/>
  <c r="AE308" i="12"/>
  <c r="AC308" i="12"/>
  <c r="AA308" i="12"/>
  <c r="Y308" i="12"/>
  <c r="AK307" i="12"/>
  <c r="AI307" i="12"/>
  <c r="AG307" i="12"/>
  <c r="AE307" i="12"/>
  <c r="AC307" i="12"/>
  <c r="AA307" i="12"/>
  <c r="Y307" i="12"/>
  <c r="Q307" i="12"/>
  <c r="R307" i="12" s="1"/>
  <c r="P307" i="12"/>
  <c r="N307" i="12"/>
  <c r="C307" i="12"/>
  <c r="AK306" i="12"/>
  <c r="AI306" i="12"/>
  <c r="AG306" i="12"/>
  <c r="AE306" i="12"/>
  <c r="AC306" i="12"/>
  <c r="AA306" i="12"/>
  <c r="Y306" i="12"/>
  <c r="AK305" i="12"/>
  <c r="AI305" i="12"/>
  <c r="AG305" i="12"/>
  <c r="AE305" i="12"/>
  <c r="AC305" i="12"/>
  <c r="AA305" i="12"/>
  <c r="Y305" i="12"/>
  <c r="AK304" i="12"/>
  <c r="AI304" i="12"/>
  <c r="AG304" i="12"/>
  <c r="AE304" i="12"/>
  <c r="AC304" i="12"/>
  <c r="AA304" i="12"/>
  <c r="Y304" i="12"/>
  <c r="AK303" i="12"/>
  <c r="AI303" i="12"/>
  <c r="AG303" i="12"/>
  <c r="AE303" i="12"/>
  <c r="AC303" i="12"/>
  <c r="AA303" i="12"/>
  <c r="Y303" i="12"/>
  <c r="AK302" i="12"/>
  <c r="AI302" i="12"/>
  <c r="AG302" i="12"/>
  <c r="AE302" i="12"/>
  <c r="AC302" i="12"/>
  <c r="AA302" i="12"/>
  <c r="Y302" i="12"/>
  <c r="AK301" i="12"/>
  <c r="AI301" i="12"/>
  <c r="AG301" i="12"/>
  <c r="AE301" i="12"/>
  <c r="AC301" i="12"/>
  <c r="AA301" i="12"/>
  <c r="Y301" i="12"/>
  <c r="Q301" i="12"/>
  <c r="R301" i="12" s="1"/>
  <c r="P301" i="12"/>
  <c r="N301" i="12"/>
  <c r="C301" i="12"/>
  <c r="AK300" i="12"/>
  <c r="AI300" i="12"/>
  <c r="AG300" i="12"/>
  <c r="AE300" i="12"/>
  <c r="AC300" i="12"/>
  <c r="AA300" i="12"/>
  <c r="Y300" i="12"/>
  <c r="AK299" i="12"/>
  <c r="AI299" i="12"/>
  <c r="AG299" i="12"/>
  <c r="AE299" i="12"/>
  <c r="AC299" i="12"/>
  <c r="AA299" i="12"/>
  <c r="Y299" i="12"/>
  <c r="AK298" i="12"/>
  <c r="AI298" i="12"/>
  <c r="AG298" i="12"/>
  <c r="AE298" i="12"/>
  <c r="AC298" i="12"/>
  <c r="AA298" i="12"/>
  <c r="Y298" i="12"/>
  <c r="AK297" i="12"/>
  <c r="AI297" i="12"/>
  <c r="AG297" i="12"/>
  <c r="AE297" i="12"/>
  <c r="AC297" i="12"/>
  <c r="AA297" i="12"/>
  <c r="Y297" i="12"/>
  <c r="AK296" i="12"/>
  <c r="AI296" i="12"/>
  <c r="AG296" i="12"/>
  <c r="AE296" i="12"/>
  <c r="AC296" i="12"/>
  <c r="AA296" i="12"/>
  <c r="Y296" i="12"/>
  <c r="AK295" i="12"/>
  <c r="AI295" i="12"/>
  <c r="AG295" i="12"/>
  <c r="AE295" i="12"/>
  <c r="AC295" i="12"/>
  <c r="AA295" i="12"/>
  <c r="Y295" i="12"/>
  <c r="Q295" i="12"/>
  <c r="R295" i="12" s="1"/>
  <c r="P295" i="12"/>
  <c r="N295" i="12"/>
  <c r="C295" i="12"/>
  <c r="AK294" i="12"/>
  <c r="AI294" i="12"/>
  <c r="AG294" i="12"/>
  <c r="AE294" i="12"/>
  <c r="AC294" i="12"/>
  <c r="AA294" i="12"/>
  <c r="Y294" i="12"/>
  <c r="AK293" i="12"/>
  <c r="AI293" i="12"/>
  <c r="AG293" i="12"/>
  <c r="AE293" i="12"/>
  <c r="AC293" i="12"/>
  <c r="AA293" i="12"/>
  <c r="Y293" i="12"/>
  <c r="AK292" i="12"/>
  <c r="AI292" i="12"/>
  <c r="AG292" i="12"/>
  <c r="AE292" i="12"/>
  <c r="AC292" i="12"/>
  <c r="AA292" i="12"/>
  <c r="Y292" i="12"/>
  <c r="AK291" i="12"/>
  <c r="AI291" i="12"/>
  <c r="AG291" i="12"/>
  <c r="AE291" i="12"/>
  <c r="AC291" i="12"/>
  <c r="AA291" i="12"/>
  <c r="Y291" i="12"/>
  <c r="AK290" i="12"/>
  <c r="AI290" i="12"/>
  <c r="AG290" i="12"/>
  <c r="AE290" i="12"/>
  <c r="AC290" i="12"/>
  <c r="AA290" i="12"/>
  <c r="Y290" i="12"/>
  <c r="AK289" i="12"/>
  <c r="AI289" i="12"/>
  <c r="AG289" i="12"/>
  <c r="AE289" i="12"/>
  <c r="AC289" i="12"/>
  <c r="AA289" i="12"/>
  <c r="Y289" i="12"/>
  <c r="Q289" i="12"/>
  <c r="R289" i="12" s="1"/>
  <c r="P289" i="12"/>
  <c r="N289" i="12"/>
  <c r="C289" i="12"/>
  <c r="AK288" i="12"/>
  <c r="AI288" i="12"/>
  <c r="AG288" i="12"/>
  <c r="AE288" i="12"/>
  <c r="AC288" i="12"/>
  <c r="AA288" i="12"/>
  <c r="Y288" i="12"/>
  <c r="AK287" i="12"/>
  <c r="AI287" i="12"/>
  <c r="AG287" i="12"/>
  <c r="AE287" i="12"/>
  <c r="AC287" i="12"/>
  <c r="AA287" i="12"/>
  <c r="Y287" i="12"/>
  <c r="AK286" i="12"/>
  <c r="AI286" i="12"/>
  <c r="AG286" i="12"/>
  <c r="AE286" i="12"/>
  <c r="AC286" i="12"/>
  <c r="AA286" i="12"/>
  <c r="Y286" i="12"/>
  <c r="AK285" i="12"/>
  <c r="AI285" i="12"/>
  <c r="AG285" i="12"/>
  <c r="AE285" i="12"/>
  <c r="AC285" i="12"/>
  <c r="AA285" i="12"/>
  <c r="Y285" i="12"/>
  <c r="AK284" i="12"/>
  <c r="AI284" i="12"/>
  <c r="AG284" i="12"/>
  <c r="AE284" i="12"/>
  <c r="AC284" i="12"/>
  <c r="AA284" i="12"/>
  <c r="Y284" i="12"/>
  <c r="AK283" i="12"/>
  <c r="AI283" i="12"/>
  <c r="AG283" i="12"/>
  <c r="AE283" i="12"/>
  <c r="AC283" i="12"/>
  <c r="AA283" i="12"/>
  <c r="Y283" i="12"/>
  <c r="Q283" i="12"/>
  <c r="R283" i="12" s="1"/>
  <c r="P283" i="12"/>
  <c r="N283" i="12"/>
  <c r="C283" i="12"/>
  <c r="AK282" i="12"/>
  <c r="AI282" i="12"/>
  <c r="AG282" i="12"/>
  <c r="AE282" i="12"/>
  <c r="AC282" i="12"/>
  <c r="AA282" i="12"/>
  <c r="Y282" i="12"/>
  <c r="AK281" i="12"/>
  <c r="AI281" i="12"/>
  <c r="AG281" i="12"/>
  <c r="AE281" i="12"/>
  <c r="AC281" i="12"/>
  <c r="AA281" i="12"/>
  <c r="Y281" i="12"/>
  <c r="AK280" i="12"/>
  <c r="AI280" i="12"/>
  <c r="AG280" i="12"/>
  <c r="AE280" i="12"/>
  <c r="AC280" i="12"/>
  <c r="AA280" i="12"/>
  <c r="Y280" i="12"/>
  <c r="AK279" i="12"/>
  <c r="AI279" i="12"/>
  <c r="AG279" i="12"/>
  <c r="AE279" i="12"/>
  <c r="AC279" i="12"/>
  <c r="AA279" i="12"/>
  <c r="Y279" i="12"/>
  <c r="AK278" i="12"/>
  <c r="AI278" i="12"/>
  <c r="AG278" i="12"/>
  <c r="AE278" i="12"/>
  <c r="AC278" i="12"/>
  <c r="AA278" i="12"/>
  <c r="Y278" i="12"/>
  <c r="AK277" i="12"/>
  <c r="AI277" i="12"/>
  <c r="AG277" i="12"/>
  <c r="AE277" i="12"/>
  <c r="AC277" i="12"/>
  <c r="AA277" i="12"/>
  <c r="Y277" i="12"/>
  <c r="Q277" i="12"/>
  <c r="R277" i="12" s="1"/>
  <c r="P277" i="12"/>
  <c r="N277" i="12"/>
  <c r="C277" i="12"/>
  <c r="AK276" i="12"/>
  <c r="AI276" i="12"/>
  <c r="AG276" i="12"/>
  <c r="AE276" i="12"/>
  <c r="AC276" i="12"/>
  <c r="AA276" i="12"/>
  <c r="Y276" i="12"/>
  <c r="AK275" i="12"/>
  <c r="AI275" i="12"/>
  <c r="AG275" i="12"/>
  <c r="AE275" i="12"/>
  <c r="AC275" i="12"/>
  <c r="AA275" i="12"/>
  <c r="Y275" i="12"/>
  <c r="AK274" i="12"/>
  <c r="AI274" i="12"/>
  <c r="AG274" i="12"/>
  <c r="AE274" i="12"/>
  <c r="AC274" i="12"/>
  <c r="AA274" i="12"/>
  <c r="Y274" i="12"/>
  <c r="AK273" i="12"/>
  <c r="AI273" i="12"/>
  <c r="AG273" i="12"/>
  <c r="AE273" i="12"/>
  <c r="AC273" i="12"/>
  <c r="AA273" i="12"/>
  <c r="Y273" i="12"/>
  <c r="AK272" i="12"/>
  <c r="AI272" i="12"/>
  <c r="AG272" i="12"/>
  <c r="AE272" i="12"/>
  <c r="AC272" i="12"/>
  <c r="AA272" i="12"/>
  <c r="Y272" i="12"/>
  <c r="AK271" i="12"/>
  <c r="AI271" i="12"/>
  <c r="AG271" i="12"/>
  <c r="AE271" i="12"/>
  <c r="AC271" i="12"/>
  <c r="AA271" i="12"/>
  <c r="Y271" i="12"/>
  <c r="Q271" i="12"/>
  <c r="R271" i="12" s="1"/>
  <c r="P271" i="12"/>
  <c r="N271" i="12"/>
  <c r="C271" i="12"/>
  <c r="AK270" i="12"/>
  <c r="AI270" i="12"/>
  <c r="AG270" i="12"/>
  <c r="AE270" i="12"/>
  <c r="AC270" i="12"/>
  <c r="AA270" i="12"/>
  <c r="Y270" i="12"/>
  <c r="AK269" i="12"/>
  <c r="AI269" i="12"/>
  <c r="AG269" i="12"/>
  <c r="AE269" i="12"/>
  <c r="AC269" i="12"/>
  <c r="AA269" i="12"/>
  <c r="Y269" i="12"/>
  <c r="AK268" i="12"/>
  <c r="AI268" i="12"/>
  <c r="AG268" i="12"/>
  <c r="AE268" i="12"/>
  <c r="AC268" i="12"/>
  <c r="AA268" i="12"/>
  <c r="Y268" i="12"/>
  <c r="AK267" i="12"/>
  <c r="AI267" i="12"/>
  <c r="AG267" i="12"/>
  <c r="AE267" i="12"/>
  <c r="AC267" i="12"/>
  <c r="AA267" i="12"/>
  <c r="Y267" i="12"/>
  <c r="AK266" i="12"/>
  <c r="AI266" i="12"/>
  <c r="AG266" i="12"/>
  <c r="AE266" i="12"/>
  <c r="AC266" i="12"/>
  <c r="AA266" i="12"/>
  <c r="Y266" i="12"/>
  <c r="AK265" i="12"/>
  <c r="AI265" i="12"/>
  <c r="AG265" i="12"/>
  <c r="AE265" i="12"/>
  <c r="AC265" i="12"/>
  <c r="AA265" i="12"/>
  <c r="Y265" i="12"/>
  <c r="Q265" i="12"/>
  <c r="R265" i="12" s="1"/>
  <c r="P265" i="12"/>
  <c r="N265" i="12"/>
  <c r="C265" i="12"/>
  <c r="AK264" i="12"/>
  <c r="AI264" i="12"/>
  <c r="AG264" i="12"/>
  <c r="AE264" i="12"/>
  <c r="AC264" i="12"/>
  <c r="AA264" i="12"/>
  <c r="Y264" i="12"/>
  <c r="AK263" i="12"/>
  <c r="AI263" i="12"/>
  <c r="AG263" i="12"/>
  <c r="AE263" i="12"/>
  <c r="AC263" i="12"/>
  <c r="AA263" i="12"/>
  <c r="Y263" i="12"/>
  <c r="AK262" i="12"/>
  <c r="AI262" i="12"/>
  <c r="AG262" i="12"/>
  <c r="AE262" i="12"/>
  <c r="AC262" i="12"/>
  <c r="AA262" i="12"/>
  <c r="Y262" i="12"/>
  <c r="AK261" i="12"/>
  <c r="AI261" i="12"/>
  <c r="AG261" i="12"/>
  <c r="AE261" i="12"/>
  <c r="AC261" i="12"/>
  <c r="AA261" i="12"/>
  <c r="Y261" i="12"/>
  <c r="AK260" i="12"/>
  <c r="AI260" i="12"/>
  <c r="AG260" i="12"/>
  <c r="AE260" i="12"/>
  <c r="AC260" i="12"/>
  <c r="AA260" i="12"/>
  <c r="Y260" i="12"/>
  <c r="AK259" i="12"/>
  <c r="AI259" i="12"/>
  <c r="AG259" i="12"/>
  <c r="AE259" i="12"/>
  <c r="AC259" i="12"/>
  <c r="AA259" i="12"/>
  <c r="Y259" i="12"/>
  <c r="Q259" i="12"/>
  <c r="R259" i="12" s="1"/>
  <c r="P259" i="12"/>
  <c r="N259" i="12"/>
  <c r="C259" i="12"/>
  <c r="AK258" i="12"/>
  <c r="AI258" i="12"/>
  <c r="AG258" i="12"/>
  <c r="AE258" i="12"/>
  <c r="AC258" i="12"/>
  <c r="AA258" i="12"/>
  <c r="Y258" i="12"/>
  <c r="AK257" i="12"/>
  <c r="AI257" i="12"/>
  <c r="AG257" i="12"/>
  <c r="AE257" i="12"/>
  <c r="AC257" i="12"/>
  <c r="AA257" i="12"/>
  <c r="Y257" i="12"/>
  <c r="AK256" i="12"/>
  <c r="AI256" i="12"/>
  <c r="AG256" i="12"/>
  <c r="AE256" i="12"/>
  <c r="AC256" i="12"/>
  <c r="AA256" i="12"/>
  <c r="Y256" i="12"/>
  <c r="AK255" i="12"/>
  <c r="AI255" i="12"/>
  <c r="AG255" i="12"/>
  <c r="AE255" i="12"/>
  <c r="AC255" i="12"/>
  <c r="AA255" i="12"/>
  <c r="Y255" i="12"/>
  <c r="AK254" i="12"/>
  <c r="AI254" i="12"/>
  <c r="AG254" i="12"/>
  <c r="AE254" i="12"/>
  <c r="AC254" i="12"/>
  <c r="AA254" i="12"/>
  <c r="Y254" i="12"/>
  <c r="AK253" i="12"/>
  <c r="AI253" i="12"/>
  <c r="AG253" i="12"/>
  <c r="AE253" i="12"/>
  <c r="AC253" i="12"/>
  <c r="AA253" i="12"/>
  <c r="Y253" i="12"/>
  <c r="Q253" i="12"/>
  <c r="R253" i="12" s="1"/>
  <c r="P253" i="12"/>
  <c r="N253" i="12"/>
  <c r="C253" i="12"/>
  <c r="AK252" i="12"/>
  <c r="AI252" i="12"/>
  <c r="AG252" i="12"/>
  <c r="AE252" i="12"/>
  <c r="AC252" i="12"/>
  <c r="AA252" i="12"/>
  <c r="Y252" i="12"/>
  <c r="AK251" i="12"/>
  <c r="AI251" i="12"/>
  <c r="AG251" i="12"/>
  <c r="AE251" i="12"/>
  <c r="AC251" i="12"/>
  <c r="AA251" i="12"/>
  <c r="Y251" i="12"/>
  <c r="AK250" i="12"/>
  <c r="AI250" i="12"/>
  <c r="AG250" i="12"/>
  <c r="AE250" i="12"/>
  <c r="AC250" i="12"/>
  <c r="AA250" i="12"/>
  <c r="Y250" i="12"/>
  <c r="AK249" i="12"/>
  <c r="AI249" i="12"/>
  <c r="AG249" i="12"/>
  <c r="AE249" i="12"/>
  <c r="AC249" i="12"/>
  <c r="AA249" i="12"/>
  <c r="Y249" i="12"/>
  <c r="AK248" i="12"/>
  <c r="AI248" i="12"/>
  <c r="AG248" i="12"/>
  <c r="AE248" i="12"/>
  <c r="AC248" i="12"/>
  <c r="AA248" i="12"/>
  <c r="Y248" i="12"/>
  <c r="AK247" i="12"/>
  <c r="AI247" i="12"/>
  <c r="AG247" i="12"/>
  <c r="AE247" i="12"/>
  <c r="AC247" i="12"/>
  <c r="AA247" i="12"/>
  <c r="Y247" i="12"/>
  <c r="Q247" i="12"/>
  <c r="R247" i="12" s="1"/>
  <c r="P247" i="12"/>
  <c r="N247" i="12"/>
  <c r="C247" i="12"/>
  <c r="AK246" i="12"/>
  <c r="AI246" i="12"/>
  <c r="AG246" i="12"/>
  <c r="AE246" i="12"/>
  <c r="AC246" i="12"/>
  <c r="AA246" i="12"/>
  <c r="Y246" i="12"/>
  <c r="AK245" i="12"/>
  <c r="AI245" i="12"/>
  <c r="AG245" i="12"/>
  <c r="AE245" i="12"/>
  <c r="AC245" i="12"/>
  <c r="AA245" i="12"/>
  <c r="Y245" i="12"/>
  <c r="AK244" i="12"/>
  <c r="AI244" i="12"/>
  <c r="AG244" i="12"/>
  <c r="AE244" i="12"/>
  <c r="AC244" i="12"/>
  <c r="AA244" i="12"/>
  <c r="Y244" i="12"/>
  <c r="AK243" i="12"/>
  <c r="AI243" i="12"/>
  <c r="AG243" i="12"/>
  <c r="AE243" i="12"/>
  <c r="AC243" i="12"/>
  <c r="AA243" i="12"/>
  <c r="Y243" i="12"/>
  <c r="AK242" i="12"/>
  <c r="AI242" i="12"/>
  <c r="AG242" i="12"/>
  <c r="AE242" i="12"/>
  <c r="AC242" i="12"/>
  <c r="AA242" i="12"/>
  <c r="Y242" i="12"/>
  <c r="AK241" i="12"/>
  <c r="AI241" i="12"/>
  <c r="AG241" i="12"/>
  <c r="AE241" i="12"/>
  <c r="AC241" i="12"/>
  <c r="AA241" i="12"/>
  <c r="Y241" i="12"/>
  <c r="Q241" i="12"/>
  <c r="R241" i="12" s="1"/>
  <c r="P241" i="12"/>
  <c r="N241" i="12"/>
  <c r="C241" i="12"/>
  <c r="AK240" i="12"/>
  <c r="AI240" i="12"/>
  <c r="AG240" i="12"/>
  <c r="AE240" i="12"/>
  <c r="AC240" i="12"/>
  <c r="AA240" i="12"/>
  <c r="Y240" i="12"/>
  <c r="AK239" i="12"/>
  <c r="AI239" i="12"/>
  <c r="AG239" i="12"/>
  <c r="AE239" i="12"/>
  <c r="AC239" i="12"/>
  <c r="AA239" i="12"/>
  <c r="Y239" i="12"/>
  <c r="AK238" i="12"/>
  <c r="AI238" i="12"/>
  <c r="AG238" i="12"/>
  <c r="AE238" i="12"/>
  <c r="AC238" i="12"/>
  <c r="AA238" i="12"/>
  <c r="Y238" i="12"/>
  <c r="AK237" i="12"/>
  <c r="AI237" i="12"/>
  <c r="AG237" i="12"/>
  <c r="AE237" i="12"/>
  <c r="AC237" i="12"/>
  <c r="AA237" i="12"/>
  <c r="Y237" i="12"/>
  <c r="AK236" i="12"/>
  <c r="AI236" i="12"/>
  <c r="AG236" i="12"/>
  <c r="AE236" i="12"/>
  <c r="AC236" i="12"/>
  <c r="AA236" i="12"/>
  <c r="Y236" i="12"/>
  <c r="AK235" i="12"/>
  <c r="AI235" i="12"/>
  <c r="AG235" i="12"/>
  <c r="AE235" i="12"/>
  <c r="AC235" i="12"/>
  <c r="AA235" i="12"/>
  <c r="Y235" i="12"/>
  <c r="Q235" i="12"/>
  <c r="R235" i="12" s="1"/>
  <c r="P235" i="12"/>
  <c r="N235" i="12"/>
  <c r="C235" i="12"/>
  <c r="AK234" i="12"/>
  <c r="AI234" i="12"/>
  <c r="AG234" i="12"/>
  <c r="AE234" i="12"/>
  <c r="AC234" i="12"/>
  <c r="AA234" i="12"/>
  <c r="Y234" i="12"/>
  <c r="AK233" i="12"/>
  <c r="AI233" i="12"/>
  <c r="AG233" i="12"/>
  <c r="AE233" i="12"/>
  <c r="AC233" i="12"/>
  <c r="AA233" i="12"/>
  <c r="Y233" i="12"/>
  <c r="AK232" i="12"/>
  <c r="AI232" i="12"/>
  <c r="AG232" i="12"/>
  <c r="AE232" i="12"/>
  <c r="AC232" i="12"/>
  <c r="AA232" i="12"/>
  <c r="Y232" i="12"/>
  <c r="AK231" i="12"/>
  <c r="AI231" i="12"/>
  <c r="AG231" i="12"/>
  <c r="AE231" i="12"/>
  <c r="AC231" i="12"/>
  <c r="AA231" i="12"/>
  <c r="Y231" i="12"/>
  <c r="AK230" i="12"/>
  <c r="AI230" i="12"/>
  <c r="AG230" i="12"/>
  <c r="AE230" i="12"/>
  <c r="AC230" i="12"/>
  <c r="AA230" i="12"/>
  <c r="Y230" i="12"/>
  <c r="AK229" i="12"/>
  <c r="AI229" i="12"/>
  <c r="AG229" i="12"/>
  <c r="AE229" i="12"/>
  <c r="AC229" i="12"/>
  <c r="AA229" i="12"/>
  <c r="Y229" i="12"/>
  <c r="Q229" i="12"/>
  <c r="R229" i="12" s="1"/>
  <c r="P229" i="12"/>
  <c r="N229" i="12"/>
  <c r="C229" i="12"/>
  <c r="AK228" i="12"/>
  <c r="AI228" i="12"/>
  <c r="AG228" i="12"/>
  <c r="AE228" i="12"/>
  <c r="AC228" i="12"/>
  <c r="AA228" i="12"/>
  <c r="Y228" i="12"/>
  <c r="AK227" i="12"/>
  <c r="AI227" i="12"/>
  <c r="AG227" i="12"/>
  <c r="AE227" i="12"/>
  <c r="AC227" i="12"/>
  <c r="AA227" i="12"/>
  <c r="Y227" i="12"/>
  <c r="AK226" i="12"/>
  <c r="AI226" i="12"/>
  <c r="AG226" i="12"/>
  <c r="AE226" i="12"/>
  <c r="AC226" i="12"/>
  <c r="AA226" i="12"/>
  <c r="Y226" i="12"/>
  <c r="AK225" i="12"/>
  <c r="AI225" i="12"/>
  <c r="AG225" i="12"/>
  <c r="AE225" i="12"/>
  <c r="AC225" i="12"/>
  <c r="AA225" i="12"/>
  <c r="Y225" i="12"/>
  <c r="AK224" i="12"/>
  <c r="AI224" i="12"/>
  <c r="AG224" i="12"/>
  <c r="AE224" i="12"/>
  <c r="AC224" i="12"/>
  <c r="AA224" i="12"/>
  <c r="Y224" i="12"/>
  <c r="AK223" i="12"/>
  <c r="AI223" i="12"/>
  <c r="AG223" i="12"/>
  <c r="AE223" i="12"/>
  <c r="AC223" i="12"/>
  <c r="AA223" i="12"/>
  <c r="Y223" i="12"/>
  <c r="Q223" i="12"/>
  <c r="R223" i="12" s="1"/>
  <c r="P223" i="12"/>
  <c r="N223" i="12"/>
  <c r="C223" i="12"/>
  <c r="AK222" i="12"/>
  <c r="AI222" i="12"/>
  <c r="AG222" i="12"/>
  <c r="AE222" i="12"/>
  <c r="AC222" i="12"/>
  <c r="AA222" i="12"/>
  <c r="Y222" i="12"/>
  <c r="AK221" i="12"/>
  <c r="AI221" i="12"/>
  <c r="AG221" i="12"/>
  <c r="AE221" i="12"/>
  <c r="AC221" i="12"/>
  <c r="AA221" i="12"/>
  <c r="Y221" i="12"/>
  <c r="AK220" i="12"/>
  <c r="AI220" i="12"/>
  <c r="AG220" i="12"/>
  <c r="AE220" i="12"/>
  <c r="AC220" i="12"/>
  <c r="AA220" i="12"/>
  <c r="Y220" i="12"/>
  <c r="AK219" i="12"/>
  <c r="AI219" i="12"/>
  <c r="AG219" i="12"/>
  <c r="AE219" i="12"/>
  <c r="AC219" i="12"/>
  <c r="AA219" i="12"/>
  <c r="Y219" i="12"/>
  <c r="AK218" i="12"/>
  <c r="AI218" i="12"/>
  <c r="AG218" i="12"/>
  <c r="AE218" i="12"/>
  <c r="AC218" i="12"/>
  <c r="AA218" i="12"/>
  <c r="Y218" i="12"/>
  <c r="AK217" i="12"/>
  <c r="AI217" i="12"/>
  <c r="AG217" i="12"/>
  <c r="AE217" i="12"/>
  <c r="AC217" i="12"/>
  <c r="AA217" i="12"/>
  <c r="Y217" i="12"/>
  <c r="Q217" i="12"/>
  <c r="R217" i="12" s="1"/>
  <c r="P217" i="12"/>
  <c r="N217" i="12"/>
  <c r="C217" i="12"/>
  <c r="AK216" i="12"/>
  <c r="AI216" i="12"/>
  <c r="AG216" i="12"/>
  <c r="AE216" i="12"/>
  <c r="AC216" i="12"/>
  <c r="AA216" i="12"/>
  <c r="Y216" i="12"/>
  <c r="AK215" i="12"/>
  <c r="AI215" i="12"/>
  <c r="AG215" i="12"/>
  <c r="AE215" i="12"/>
  <c r="AC215" i="12"/>
  <c r="AA215" i="12"/>
  <c r="Y215" i="12"/>
  <c r="AK214" i="12"/>
  <c r="AI214" i="12"/>
  <c r="AG214" i="12"/>
  <c r="AE214" i="12"/>
  <c r="AC214" i="12"/>
  <c r="AA214" i="12"/>
  <c r="Y214" i="12"/>
  <c r="AK213" i="12"/>
  <c r="AI213" i="12"/>
  <c r="AG213" i="12"/>
  <c r="AE213" i="12"/>
  <c r="AC213" i="12"/>
  <c r="AA213" i="12"/>
  <c r="Y213" i="12"/>
  <c r="AK212" i="12"/>
  <c r="AI212" i="12"/>
  <c r="AG212" i="12"/>
  <c r="AE212" i="12"/>
  <c r="AC212" i="12"/>
  <c r="AA212" i="12"/>
  <c r="Y212" i="12"/>
  <c r="AK211" i="12"/>
  <c r="AI211" i="12"/>
  <c r="AG211" i="12"/>
  <c r="AE211" i="12"/>
  <c r="AC211" i="12"/>
  <c r="AA211" i="12"/>
  <c r="Y211" i="12"/>
  <c r="Q211" i="12"/>
  <c r="R211" i="12" s="1"/>
  <c r="P211" i="12"/>
  <c r="N211" i="12"/>
  <c r="C211" i="12"/>
  <c r="AK210" i="12"/>
  <c r="AI210" i="12"/>
  <c r="AG210" i="12"/>
  <c r="AE210" i="12"/>
  <c r="AC210" i="12"/>
  <c r="AA210" i="12"/>
  <c r="Y210" i="12"/>
  <c r="AK209" i="12"/>
  <c r="AI209" i="12"/>
  <c r="AG209" i="12"/>
  <c r="AE209" i="12"/>
  <c r="AC209" i="12"/>
  <c r="AA209" i="12"/>
  <c r="Y209" i="12"/>
  <c r="AK208" i="12"/>
  <c r="AI208" i="12"/>
  <c r="AG208" i="12"/>
  <c r="AE208" i="12"/>
  <c r="AC208" i="12"/>
  <c r="AA208" i="12"/>
  <c r="Y208" i="12"/>
  <c r="AK207" i="12"/>
  <c r="AI207" i="12"/>
  <c r="AG207" i="12"/>
  <c r="AE207" i="12"/>
  <c r="AC207" i="12"/>
  <c r="AA207" i="12"/>
  <c r="Y207" i="12"/>
  <c r="AK206" i="12"/>
  <c r="AI206" i="12"/>
  <c r="AG206" i="12"/>
  <c r="AE206" i="12"/>
  <c r="AC206" i="12"/>
  <c r="AA206" i="12"/>
  <c r="Y206" i="12"/>
  <c r="AK205" i="12"/>
  <c r="AI205" i="12"/>
  <c r="AG205" i="12"/>
  <c r="AE205" i="12"/>
  <c r="AC205" i="12"/>
  <c r="AA205" i="12"/>
  <c r="Y205" i="12"/>
  <c r="Q205" i="12"/>
  <c r="R205" i="12" s="1"/>
  <c r="P205" i="12"/>
  <c r="N205" i="12"/>
  <c r="C205" i="12"/>
  <c r="AK204" i="12"/>
  <c r="AI204" i="12"/>
  <c r="AG204" i="12"/>
  <c r="AE204" i="12"/>
  <c r="AC204" i="12"/>
  <c r="AA204" i="12"/>
  <c r="Y204" i="12"/>
  <c r="AK203" i="12"/>
  <c r="AI203" i="12"/>
  <c r="AG203" i="12"/>
  <c r="AE203" i="12"/>
  <c r="AC203" i="12"/>
  <c r="AA203" i="12"/>
  <c r="Y203" i="12"/>
  <c r="AK202" i="12"/>
  <c r="AI202" i="12"/>
  <c r="AG202" i="12"/>
  <c r="AE202" i="12"/>
  <c r="AC202" i="12"/>
  <c r="AA202" i="12"/>
  <c r="Y202" i="12"/>
  <c r="AK201" i="12"/>
  <c r="AI201" i="12"/>
  <c r="AG201" i="12"/>
  <c r="AE201" i="12"/>
  <c r="AC201" i="12"/>
  <c r="AA201" i="12"/>
  <c r="Y201" i="12"/>
  <c r="AK200" i="12"/>
  <c r="AI200" i="12"/>
  <c r="AG200" i="12"/>
  <c r="AE200" i="12"/>
  <c r="AC200" i="12"/>
  <c r="AA200" i="12"/>
  <c r="Y200" i="12"/>
  <c r="AK199" i="12"/>
  <c r="AI199" i="12"/>
  <c r="AG199" i="12"/>
  <c r="AE199" i="12"/>
  <c r="AC199" i="12"/>
  <c r="AA199" i="12"/>
  <c r="Y199" i="12"/>
  <c r="Q199" i="12"/>
  <c r="R199" i="12" s="1"/>
  <c r="P199" i="12"/>
  <c r="N199" i="12"/>
  <c r="C199" i="12"/>
  <c r="AK198" i="12"/>
  <c r="AI198" i="12"/>
  <c r="AG198" i="12"/>
  <c r="AE198" i="12"/>
  <c r="AC198" i="12"/>
  <c r="AA198" i="12"/>
  <c r="Y198" i="12"/>
  <c r="AK197" i="12"/>
  <c r="AI197" i="12"/>
  <c r="AG197" i="12"/>
  <c r="AE197" i="12"/>
  <c r="AC197" i="12"/>
  <c r="AA197" i="12"/>
  <c r="Y197" i="12"/>
  <c r="AK196" i="12"/>
  <c r="AI196" i="12"/>
  <c r="AG196" i="12"/>
  <c r="AE196" i="12"/>
  <c r="AC196" i="12"/>
  <c r="AA196" i="12"/>
  <c r="Y196" i="12"/>
  <c r="AK195" i="12"/>
  <c r="AI195" i="12"/>
  <c r="AG195" i="12"/>
  <c r="AE195" i="12"/>
  <c r="AC195" i="12"/>
  <c r="AA195" i="12"/>
  <c r="Y195" i="12"/>
  <c r="AK194" i="12"/>
  <c r="AI194" i="12"/>
  <c r="AG194" i="12"/>
  <c r="AE194" i="12"/>
  <c r="AC194" i="12"/>
  <c r="AA194" i="12"/>
  <c r="Y194" i="12"/>
  <c r="AK193" i="12"/>
  <c r="AI193" i="12"/>
  <c r="AG193" i="12"/>
  <c r="AE193" i="12"/>
  <c r="AC193" i="12"/>
  <c r="AA193" i="12"/>
  <c r="Y193" i="12"/>
  <c r="Q193" i="12"/>
  <c r="R193" i="12" s="1"/>
  <c r="P193" i="12"/>
  <c r="N193" i="12"/>
  <c r="C193" i="12"/>
  <c r="AK192" i="12"/>
  <c r="AI192" i="12"/>
  <c r="AG192" i="12"/>
  <c r="AE192" i="12"/>
  <c r="AC192" i="12"/>
  <c r="AA192" i="12"/>
  <c r="Y192" i="12"/>
  <c r="AK191" i="12"/>
  <c r="AI191" i="12"/>
  <c r="AG191" i="12"/>
  <c r="AE191" i="12"/>
  <c r="AC191" i="12"/>
  <c r="AA191" i="12"/>
  <c r="Y191" i="12"/>
  <c r="AK190" i="12"/>
  <c r="AI190" i="12"/>
  <c r="AG190" i="12"/>
  <c r="AE190" i="12"/>
  <c r="AC190" i="12"/>
  <c r="AA190" i="12"/>
  <c r="Y190" i="12"/>
  <c r="AK189" i="12"/>
  <c r="AI189" i="12"/>
  <c r="AG189" i="12"/>
  <c r="AE189" i="12"/>
  <c r="AC189" i="12"/>
  <c r="AA189" i="12"/>
  <c r="Y189" i="12"/>
  <c r="AK188" i="12"/>
  <c r="AI188" i="12"/>
  <c r="AG188" i="12"/>
  <c r="AE188" i="12"/>
  <c r="AC188" i="12"/>
  <c r="AA188" i="12"/>
  <c r="Y188" i="12"/>
  <c r="AK187" i="12"/>
  <c r="AI187" i="12"/>
  <c r="AG187" i="12"/>
  <c r="AE187" i="12"/>
  <c r="AC187" i="12"/>
  <c r="AA187" i="12"/>
  <c r="Y187" i="12"/>
  <c r="Q187" i="12"/>
  <c r="R187" i="12" s="1"/>
  <c r="P187" i="12"/>
  <c r="N187" i="12"/>
  <c r="C187" i="12"/>
  <c r="AK186" i="12"/>
  <c r="AI186" i="12"/>
  <c r="AG186" i="12"/>
  <c r="AE186" i="12"/>
  <c r="AC186" i="12"/>
  <c r="AA186" i="12"/>
  <c r="Y186" i="12"/>
  <c r="AK185" i="12"/>
  <c r="AI185" i="12"/>
  <c r="AG185" i="12"/>
  <c r="AE185" i="12"/>
  <c r="AC185" i="12"/>
  <c r="AA185" i="12"/>
  <c r="Y185" i="12"/>
  <c r="AK184" i="12"/>
  <c r="AI184" i="12"/>
  <c r="AG184" i="12"/>
  <c r="AE184" i="12"/>
  <c r="AC184" i="12"/>
  <c r="AA184" i="12"/>
  <c r="Y184" i="12"/>
  <c r="AK183" i="12"/>
  <c r="AI183" i="12"/>
  <c r="AG183" i="12"/>
  <c r="AE183" i="12"/>
  <c r="AC183" i="12"/>
  <c r="AA183" i="12"/>
  <c r="Y183" i="12"/>
  <c r="AK182" i="12"/>
  <c r="AI182" i="12"/>
  <c r="AG182" i="12"/>
  <c r="AE182" i="12"/>
  <c r="AC182" i="12"/>
  <c r="AA182" i="12"/>
  <c r="Y182" i="12"/>
  <c r="AK181" i="12"/>
  <c r="AI181" i="12"/>
  <c r="AG181" i="12"/>
  <c r="AE181" i="12"/>
  <c r="AC181" i="12"/>
  <c r="AA181" i="12"/>
  <c r="Y181" i="12"/>
  <c r="Q181" i="12"/>
  <c r="R181" i="12" s="1"/>
  <c r="P181" i="12"/>
  <c r="N181" i="12"/>
  <c r="C181" i="12"/>
  <c r="AK180" i="12"/>
  <c r="AI180" i="12"/>
  <c r="AG180" i="12"/>
  <c r="AE180" i="12"/>
  <c r="AC180" i="12"/>
  <c r="AA180" i="12"/>
  <c r="Y180" i="12"/>
  <c r="AK179" i="12"/>
  <c r="AI179" i="12"/>
  <c r="AG179" i="12"/>
  <c r="AE179" i="12"/>
  <c r="AC179" i="12"/>
  <c r="AA179" i="12"/>
  <c r="Y179" i="12"/>
  <c r="AK178" i="12"/>
  <c r="AI178" i="12"/>
  <c r="AG178" i="12"/>
  <c r="AE178" i="12"/>
  <c r="AC178" i="12"/>
  <c r="AA178" i="12"/>
  <c r="Y178" i="12"/>
  <c r="AK177" i="12"/>
  <c r="AI177" i="12"/>
  <c r="AG177" i="12"/>
  <c r="AE177" i="12"/>
  <c r="AC177" i="12"/>
  <c r="AA177" i="12"/>
  <c r="Y177" i="12"/>
  <c r="AK176" i="12"/>
  <c r="AI176" i="12"/>
  <c r="AG176" i="12"/>
  <c r="AE176" i="12"/>
  <c r="AC176" i="12"/>
  <c r="AA176" i="12"/>
  <c r="Y176" i="12"/>
  <c r="AK175" i="12"/>
  <c r="AI175" i="12"/>
  <c r="AG175" i="12"/>
  <c r="AE175" i="12"/>
  <c r="AC175" i="12"/>
  <c r="AA175" i="12"/>
  <c r="Y175" i="12"/>
  <c r="Q175" i="12"/>
  <c r="R175" i="12" s="1"/>
  <c r="P175" i="12"/>
  <c r="N175" i="12"/>
  <c r="C175" i="12"/>
  <c r="AK174" i="12"/>
  <c r="AI174" i="12"/>
  <c r="AG174" i="12"/>
  <c r="AE174" i="12"/>
  <c r="AC174" i="12"/>
  <c r="AA174" i="12"/>
  <c r="Y174" i="12"/>
  <c r="AK173" i="12"/>
  <c r="AI173" i="12"/>
  <c r="AG173" i="12"/>
  <c r="AE173" i="12"/>
  <c r="AC173" i="12"/>
  <c r="AA173" i="12"/>
  <c r="Y173" i="12"/>
  <c r="AK172" i="12"/>
  <c r="AI172" i="12"/>
  <c r="AG172" i="12"/>
  <c r="AE172" i="12"/>
  <c r="AC172" i="12"/>
  <c r="AA172" i="12"/>
  <c r="Y172" i="12"/>
  <c r="AK171" i="12"/>
  <c r="AI171" i="12"/>
  <c r="AG171" i="12"/>
  <c r="AE171" i="12"/>
  <c r="AC171" i="12"/>
  <c r="AA171" i="12"/>
  <c r="Y171" i="12"/>
  <c r="AK170" i="12"/>
  <c r="AI170" i="12"/>
  <c r="AG170" i="12"/>
  <c r="AE170" i="12"/>
  <c r="AC170" i="12"/>
  <c r="AA170" i="12"/>
  <c r="Y170" i="12"/>
  <c r="AK169" i="12"/>
  <c r="AI169" i="12"/>
  <c r="AG169" i="12"/>
  <c r="AE169" i="12"/>
  <c r="AC169" i="12"/>
  <c r="AA169" i="12"/>
  <c r="Y169" i="12"/>
  <c r="Q169" i="12"/>
  <c r="R169" i="12" s="1"/>
  <c r="P169" i="12"/>
  <c r="N169" i="12"/>
  <c r="C169" i="12"/>
  <c r="AK168" i="12"/>
  <c r="AI168" i="12"/>
  <c r="AG168" i="12"/>
  <c r="AE168" i="12"/>
  <c r="AC168" i="12"/>
  <c r="AA168" i="12"/>
  <c r="Y168" i="12"/>
  <c r="AK167" i="12"/>
  <c r="AI167" i="12"/>
  <c r="AG167" i="12"/>
  <c r="AE167" i="12"/>
  <c r="AC167" i="12"/>
  <c r="AA167" i="12"/>
  <c r="Y167" i="12"/>
  <c r="AK166" i="12"/>
  <c r="AI166" i="12"/>
  <c r="AG166" i="12"/>
  <c r="AE166" i="12"/>
  <c r="AC166" i="12"/>
  <c r="AA166" i="12"/>
  <c r="Y166" i="12"/>
  <c r="AK165" i="12"/>
  <c r="AI165" i="12"/>
  <c r="AG165" i="12"/>
  <c r="AE165" i="12"/>
  <c r="AC165" i="12"/>
  <c r="AA165" i="12"/>
  <c r="Y165" i="12"/>
  <c r="AK164" i="12"/>
  <c r="AI164" i="12"/>
  <c r="AG164" i="12"/>
  <c r="AE164" i="12"/>
  <c r="AC164" i="12"/>
  <c r="AA164" i="12"/>
  <c r="Y164" i="12"/>
  <c r="AK163" i="12"/>
  <c r="AI163" i="12"/>
  <c r="AG163" i="12"/>
  <c r="AE163" i="12"/>
  <c r="AC163" i="12"/>
  <c r="AA163" i="12"/>
  <c r="Y163" i="12"/>
  <c r="Q163" i="12"/>
  <c r="R163" i="12" s="1"/>
  <c r="P163" i="12"/>
  <c r="N163" i="12"/>
  <c r="C163" i="12"/>
  <c r="AK162" i="12"/>
  <c r="AI162" i="12"/>
  <c r="AG162" i="12"/>
  <c r="AE162" i="12"/>
  <c r="AC162" i="12"/>
  <c r="AA162" i="12"/>
  <c r="Y162" i="12"/>
  <c r="AK161" i="12"/>
  <c r="AI161" i="12"/>
  <c r="AG161" i="12"/>
  <c r="AE161" i="12"/>
  <c r="AC161" i="12"/>
  <c r="AA161" i="12"/>
  <c r="Y161" i="12"/>
  <c r="AK160" i="12"/>
  <c r="AI160" i="12"/>
  <c r="AG160" i="12"/>
  <c r="AE160" i="12"/>
  <c r="AC160" i="12"/>
  <c r="AA160" i="12"/>
  <c r="Y160" i="12"/>
  <c r="AK159" i="12"/>
  <c r="AI159" i="12"/>
  <c r="AG159" i="12"/>
  <c r="AE159" i="12"/>
  <c r="AC159" i="12"/>
  <c r="AA159" i="12"/>
  <c r="Y159" i="12"/>
  <c r="AK158" i="12"/>
  <c r="AI158" i="12"/>
  <c r="AG158" i="12"/>
  <c r="AE158" i="12"/>
  <c r="AC158" i="12"/>
  <c r="AA158" i="12"/>
  <c r="Y158" i="12"/>
  <c r="AK157" i="12"/>
  <c r="AI157" i="12"/>
  <c r="AG157" i="12"/>
  <c r="AE157" i="12"/>
  <c r="AC157" i="12"/>
  <c r="AA157" i="12"/>
  <c r="Y157" i="12"/>
  <c r="Q157" i="12"/>
  <c r="R157" i="12" s="1"/>
  <c r="P157" i="12"/>
  <c r="N157" i="12"/>
  <c r="C157" i="12"/>
  <c r="AK156" i="12"/>
  <c r="AI156" i="12"/>
  <c r="AG156" i="12"/>
  <c r="AE156" i="12"/>
  <c r="AC156" i="12"/>
  <c r="AA156" i="12"/>
  <c r="Y156" i="12"/>
  <c r="AK155" i="12"/>
  <c r="AI155" i="12"/>
  <c r="AG155" i="12"/>
  <c r="AE155" i="12"/>
  <c r="AC155" i="12"/>
  <c r="AA155" i="12"/>
  <c r="Y155" i="12"/>
  <c r="AK154" i="12"/>
  <c r="AI154" i="12"/>
  <c r="AG154" i="12"/>
  <c r="AE154" i="12"/>
  <c r="AC154" i="12"/>
  <c r="AA154" i="12"/>
  <c r="Y154" i="12"/>
  <c r="AK153" i="12"/>
  <c r="AI153" i="12"/>
  <c r="AG153" i="12"/>
  <c r="AE153" i="12"/>
  <c r="AC153" i="12"/>
  <c r="AA153" i="12"/>
  <c r="Y153" i="12"/>
  <c r="AK152" i="12"/>
  <c r="AI152" i="12"/>
  <c r="AG152" i="12"/>
  <c r="AE152" i="12"/>
  <c r="AC152" i="12"/>
  <c r="AA152" i="12"/>
  <c r="Y152" i="12"/>
  <c r="AK151" i="12"/>
  <c r="AI151" i="12"/>
  <c r="AG151" i="12"/>
  <c r="AE151" i="12"/>
  <c r="AC151" i="12"/>
  <c r="AA151" i="12"/>
  <c r="Y151" i="12"/>
  <c r="Q151" i="12"/>
  <c r="R151" i="12" s="1"/>
  <c r="P151" i="12"/>
  <c r="N151" i="12"/>
  <c r="C151" i="12"/>
  <c r="AK150" i="12"/>
  <c r="AI150" i="12"/>
  <c r="AG150" i="12"/>
  <c r="AE150" i="12"/>
  <c r="AC150" i="12"/>
  <c r="AA150" i="12"/>
  <c r="Y150" i="12"/>
  <c r="AK149" i="12"/>
  <c r="AI149" i="12"/>
  <c r="AG149" i="12"/>
  <c r="AE149" i="12"/>
  <c r="AC149" i="12"/>
  <c r="AA149" i="12"/>
  <c r="Y149" i="12"/>
  <c r="AK148" i="12"/>
  <c r="AI148" i="12"/>
  <c r="AG148" i="12"/>
  <c r="AE148" i="12"/>
  <c r="AC148" i="12"/>
  <c r="AA148" i="12"/>
  <c r="Y148" i="12"/>
  <c r="AK147" i="12"/>
  <c r="AI147" i="12"/>
  <c r="AG147" i="12"/>
  <c r="AE147" i="12"/>
  <c r="AC147" i="12"/>
  <c r="AA147" i="12"/>
  <c r="Y147" i="12"/>
  <c r="AK146" i="12"/>
  <c r="AI146" i="12"/>
  <c r="AG146" i="12"/>
  <c r="AE146" i="12"/>
  <c r="AC146" i="12"/>
  <c r="AA146" i="12"/>
  <c r="Y146" i="12"/>
  <c r="AK145" i="12"/>
  <c r="AI145" i="12"/>
  <c r="AG145" i="12"/>
  <c r="AE145" i="12"/>
  <c r="AC145" i="12"/>
  <c r="AA145" i="12"/>
  <c r="Y145" i="12"/>
  <c r="Q145" i="12"/>
  <c r="R145" i="12" s="1"/>
  <c r="P145" i="12"/>
  <c r="N145" i="12"/>
  <c r="C145" i="12"/>
  <c r="AK144" i="12"/>
  <c r="AI144" i="12"/>
  <c r="AG144" i="12"/>
  <c r="AE144" i="12"/>
  <c r="AC144" i="12"/>
  <c r="AA144" i="12"/>
  <c r="Y144" i="12"/>
  <c r="AK143" i="12"/>
  <c r="AI143" i="12"/>
  <c r="AG143" i="12"/>
  <c r="AE143" i="12"/>
  <c r="AC143" i="12"/>
  <c r="AA143" i="12"/>
  <c r="Y143" i="12"/>
  <c r="AK142" i="12"/>
  <c r="AI142" i="12"/>
  <c r="AG142" i="12"/>
  <c r="AE142" i="12"/>
  <c r="AC142" i="12"/>
  <c r="AA142" i="12"/>
  <c r="Y142" i="12"/>
  <c r="AK141" i="12"/>
  <c r="AI141" i="12"/>
  <c r="AG141" i="12"/>
  <c r="AE141" i="12"/>
  <c r="AC141" i="12"/>
  <c r="AA141" i="12"/>
  <c r="Y141" i="12"/>
  <c r="AK140" i="12"/>
  <c r="AI140" i="12"/>
  <c r="AG140" i="12"/>
  <c r="AE140" i="12"/>
  <c r="AC140" i="12"/>
  <c r="AA140" i="12"/>
  <c r="Y140" i="12"/>
  <c r="AK139" i="12"/>
  <c r="AI139" i="12"/>
  <c r="AG139" i="12"/>
  <c r="AE139" i="12"/>
  <c r="AC139" i="12"/>
  <c r="AA139" i="12"/>
  <c r="Y139" i="12"/>
  <c r="Q139" i="12"/>
  <c r="R139" i="12" s="1"/>
  <c r="P139" i="12"/>
  <c r="N139" i="12"/>
  <c r="C139" i="12"/>
  <c r="AK138" i="12"/>
  <c r="AI138" i="12"/>
  <c r="AG138" i="12"/>
  <c r="AE138" i="12"/>
  <c r="AC138" i="12"/>
  <c r="AA138" i="12"/>
  <c r="Y138" i="12"/>
  <c r="AK137" i="12"/>
  <c r="AI137" i="12"/>
  <c r="AG137" i="12"/>
  <c r="AE137" i="12"/>
  <c r="AC137" i="12"/>
  <c r="AA137" i="12"/>
  <c r="Y137" i="12"/>
  <c r="AK136" i="12"/>
  <c r="AI136" i="12"/>
  <c r="AG136" i="12"/>
  <c r="AE136" i="12"/>
  <c r="AC136" i="12"/>
  <c r="AA136" i="12"/>
  <c r="Y136" i="12"/>
  <c r="AK135" i="12"/>
  <c r="AI135" i="12"/>
  <c r="AG135" i="12"/>
  <c r="AE135" i="12"/>
  <c r="AC135" i="12"/>
  <c r="AA135" i="12"/>
  <c r="Y135" i="12"/>
  <c r="AK134" i="12"/>
  <c r="AI134" i="12"/>
  <c r="AG134" i="12"/>
  <c r="AE134" i="12"/>
  <c r="AC134" i="12"/>
  <c r="AA134" i="12"/>
  <c r="Y134" i="12"/>
  <c r="AK133" i="12"/>
  <c r="AI133" i="12"/>
  <c r="AG133" i="12"/>
  <c r="AE133" i="12"/>
  <c r="AC133" i="12"/>
  <c r="AA133" i="12"/>
  <c r="Y133" i="12"/>
  <c r="Q133" i="12"/>
  <c r="R133" i="12" s="1"/>
  <c r="P133" i="12"/>
  <c r="N133" i="12"/>
  <c r="C133" i="12"/>
  <c r="AK132" i="12"/>
  <c r="AI132" i="12"/>
  <c r="AG132" i="12"/>
  <c r="AE132" i="12"/>
  <c r="AC132" i="12"/>
  <c r="AA132" i="12"/>
  <c r="Y132" i="12"/>
  <c r="AK131" i="12"/>
  <c r="AI131" i="12"/>
  <c r="AG131" i="12"/>
  <c r="AE131" i="12"/>
  <c r="AC131" i="12"/>
  <c r="AA131" i="12"/>
  <c r="Y131" i="12"/>
  <c r="AK130" i="12"/>
  <c r="AI130" i="12"/>
  <c r="AG130" i="12"/>
  <c r="AE130" i="12"/>
  <c r="AC130" i="12"/>
  <c r="AA130" i="12"/>
  <c r="Y130" i="12"/>
  <c r="AK129" i="12"/>
  <c r="AI129" i="12"/>
  <c r="AG129" i="12"/>
  <c r="AE129" i="12"/>
  <c r="AC129" i="12"/>
  <c r="AA129" i="12"/>
  <c r="Y129" i="12"/>
  <c r="AK128" i="12"/>
  <c r="AI128" i="12"/>
  <c r="AG128" i="12"/>
  <c r="AE128" i="12"/>
  <c r="AC128" i="12"/>
  <c r="AA128" i="12"/>
  <c r="Y128" i="12"/>
  <c r="AK127" i="12"/>
  <c r="AI127" i="12"/>
  <c r="AG127" i="12"/>
  <c r="AE127" i="12"/>
  <c r="AC127" i="12"/>
  <c r="AA127" i="12"/>
  <c r="Y127" i="12"/>
  <c r="Q127" i="12"/>
  <c r="R127" i="12" s="1"/>
  <c r="P127" i="12"/>
  <c r="N127" i="12"/>
  <c r="C127" i="12"/>
  <c r="AK126" i="12"/>
  <c r="AI126" i="12"/>
  <c r="AG126" i="12"/>
  <c r="AE126" i="12"/>
  <c r="AC126" i="12"/>
  <c r="AA126" i="12"/>
  <c r="Y126" i="12"/>
  <c r="AK125" i="12"/>
  <c r="AI125" i="12"/>
  <c r="AG125" i="12"/>
  <c r="AE125" i="12"/>
  <c r="AC125" i="12"/>
  <c r="AA125" i="12"/>
  <c r="Y125" i="12"/>
  <c r="AK124" i="12"/>
  <c r="AI124" i="12"/>
  <c r="AG124" i="12"/>
  <c r="AE124" i="12"/>
  <c r="AC124" i="12"/>
  <c r="AA124" i="12"/>
  <c r="Y124" i="12"/>
  <c r="AK123" i="12"/>
  <c r="AI123" i="12"/>
  <c r="AG123" i="12"/>
  <c r="AE123" i="12"/>
  <c r="AC123" i="12"/>
  <c r="AA123" i="12"/>
  <c r="Y123" i="12"/>
  <c r="AK122" i="12"/>
  <c r="AI122" i="12"/>
  <c r="AG122" i="12"/>
  <c r="AE122" i="12"/>
  <c r="AC122" i="12"/>
  <c r="AA122" i="12"/>
  <c r="Y122" i="12"/>
  <c r="AK121" i="12"/>
  <c r="AI121" i="12"/>
  <c r="AG121" i="12"/>
  <c r="AE121" i="12"/>
  <c r="AC121" i="12"/>
  <c r="AA121" i="12"/>
  <c r="Y121" i="12"/>
  <c r="Q121" i="12"/>
  <c r="R121" i="12" s="1"/>
  <c r="P121" i="12"/>
  <c r="N121" i="12"/>
  <c r="C121" i="12"/>
  <c r="AK120" i="12"/>
  <c r="AI120" i="12"/>
  <c r="AG120" i="12"/>
  <c r="AE120" i="12"/>
  <c r="AC120" i="12"/>
  <c r="AA120" i="12"/>
  <c r="Y120" i="12"/>
  <c r="AK119" i="12"/>
  <c r="AI119" i="12"/>
  <c r="AG119" i="12"/>
  <c r="AE119" i="12"/>
  <c r="AC119" i="12"/>
  <c r="AA119" i="12"/>
  <c r="Y119" i="12"/>
  <c r="AK118" i="12"/>
  <c r="AI118" i="12"/>
  <c r="AG118" i="12"/>
  <c r="AE118" i="12"/>
  <c r="AC118" i="12"/>
  <c r="AA118" i="12"/>
  <c r="Y118" i="12"/>
  <c r="AK117" i="12"/>
  <c r="AI117" i="12"/>
  <c r="AG117" i="12"/>
  <c r="AE117" i="12"/>
  <c r="AC117" i="12"/>
  <c r="AA117" i="12"/>
  <c r="Y117" i="12"/>
  <c r="AK116" i="12"/>
  <c r="AI116" i="12"/>
  <c r="AG116" i="12"/>
  <c r="AE116" i="12"/>
  <c r="AC116" i="12"/>
  <c r="AA116" i="12"/>
  <c r="Y116" i="12"/>
  <c r="AK115" i="12"/>
  <c r="AI115" i="12"/>
  <c r="AG115" i="12"/>
  <c r="AE115" i="12"/>
  <c r="AC115" i="12"/>
  <c r="AA115" i="12"/>
  <c r="Y115" i="12"/>
  <c r="Q115" i="12"/>
  <c r="R115" i="12" s="1"/>
  <c r="P115" i="12"/>
  <c r="N115" i="12"/>
  <c r="C115" i="12"/>
  <c r="AK114" i="12"/>
  <c r="AI114" i="12"/>
  <c r="AG114" i="12"/>
  <c r="AE114" i="12"/>
  <c r="AC114" i="12"/>
  <c r="AA114" i="12"/>
  <c r="Y114" i="12"/>
  <c r="AK113" i="12"/>
  <c r="AI113" i="12"/>
  <c r="AG113" i="12"/>
  <c r="AE113" i="12"/>
  <c r="AC113" i="12"/>
  <c r="AA113" i="12"/>
  <c r="Y113" i="12"/>
  <c r="AK112" i="12"/>
  <c r="AI112" i="12"/>
  <c r="AG112" i="12"/>
  <c r="AE112" i="12"/>
  <c r="AC112" i="12"/>
  <c r="AA112" i="12"/>
  <c r="Y112" i="12"/>
  <c r="AK111" i="12"/>
  <c r="AI111" i="12"/>
  <c r="AG111" i="12"/>
  <c r="AE111" i="12"/>
  <c r="AC111" i="12"/>
  <c r="AA111" i="12"/>
  <c r="Y111" i="12"/>
  <c r="AK110" i="12"/>
  <c r="AI110" i="12"/>
  <c r="AG110" i="12"/>
  <c r="AE110" i="12"/>
  <c r="AC110" i="12"/>
  <c r="AA110" i="12"/>
  <c r="Y110" i="12"/>
  <c r="AK109" i="12"/>
  <c r="AI109" i="12"/>
  <c r="AG109" i="12"/>
  <c r="AE109" i="12"/>
  <c r="AC109" i="12"/>
  <c r="AA109" i="12"/>
  <c r="Y109" i="12"/>
  <c r="Q109" i="12"/>
  <c r="R109" i="12" s="1"/>
  <c r="P109" i="12"/>
  <c r="N109" i="12"/>
  <c r="C109" i="12"/>
  <c r="AK108" i="12"/>
  <c r="AI108" i="12"/>
  <c r="AG108" i="12"/>
  <c r="AE108" i="12"/>
  <c r="AC108" i="12"/>
  <c r="AA108" i="12"/>
  <c r="Y108" i="12"/>
  <c r="AK107" i="12"/>
  <c r="AI107" i="12"/>
  <c r="AG107" i="12"/>
  <c r="AE107" i="12"/>
  <c r="AC107" i="12"/>
  <c r="AA107" i="12"/>
  <c r="Y107" i="12"/>
  <c r="AK106" i="12"/>
  <c r="AI106" i="12"/>
  <c r="AG106" i="12"/>
  <c r="AE106" i="12"/>
  <c r="AC106" i="12"/>
  <c r="AA106" i="12"/>
  <c r="Y106" i="12"/>
  <c r="AK105" i="12"/>
  <c r="AI105" i="12"/>
  <c r="AG105" i="12"/>
  <c r="AE105" i="12"/>
  <c r="AC105" i="12"/>
  <c r="AA105" i="12"/>
  <c r="Y105" i="12"/>
  <c r="AK104" i="12"/>
  <c r="AI104" i="12"/>
  <c r="AG104" i="12"/>
  <c r="AE104" i="12"/>
  <c r="AC104" i="12"/>
  <c r="AA104" i="12"/>
  <c r="Y104" i="12"/>
  <c r="AK103" i="12"/>
  <c r="AI103" i="12"/>
  <c r="AG103" i="12"/>
  <c r="AE103" i="12"/>
  <c r="AC103" i="12"/>
  <c r="AA103" i="12"/>
  <c r="Y103" i="12"/>
  <c r="Q103" i="12"/>
  <c r="R103" i="12" s="1"/>
  <c r="P103" i="12"/>
  <c r="N103" i="12"/>
  <c r="C103" i="12"/>
  <c r="AK102" i="12"/>
  <c r="AI102" i="12"/>
  <c r="AG102" i="12"/>
  <c r="AE102" i="12"/>
  <c r="AC102" i="12"/>
  <c r="AA102" i="12"/>
  <c r="Y102" i="12"/>
  <c r="AK101" i="12"/>
  <c r="AI101" i="12"/>
  <c r="AG101" i="12"/>
  <c r="AE101" i="12"/>
  <c r="AC101" i="12"/>
  <c r="AA101" i="12"/>
  <c r="Y101" i="12"/>
  <c r="AK100" i="12"/>
  <c r="AI100" i="12"/>
  <c r="AG100" i="12"/>
  <c r="AE100" i="12"/>
  <c r="AC100" i="12"/>
  <c r="AA100" i="12"/>
  <c r="Y100" i="12"/>
  <c r="AK99" i="12"/>
  <c r="AI99" i="12"/>
  <c r="AG99" i="12"/>
  <c r="AE99" i="12"/>
  <c r="AC99" i="12"/>
  <c r="AA99" i="12"/>
  <c r="Y99" i="12"/>
  <c r="AK98" i="12"/>
  <c r="AI98" i="12"/>
  <c r="AG98" i="12"/>
  <c r="AE98" i="12"/>
  <c r="AC98" i="12"/>
  <c r="AA98" i="12"/>
  <c r="Y98" i="12"/>
  <c r="AK97" i="12"/>
  <c r="AI97" i="12"/>
  <c r="AG97" i="12"/>
  <c r="AE97" i="12"/>
  <c r="AC97" i="12"/>
  <c r="AA97" i="12"/>
  <c r="Y97" i="12"/>
  <c r="Q97" i="12"/>
  <c r="R97" i="12" s="1"/>
  <c r="P97" i="12"/>
  <c r="N97" i="12"/>
  <c r="C97" i="12"/>
  <c r="AK96" i="12"/>
  <c r="AI96" i="12"/>
  <c r="AG96" i="12"/>
  <c r="AE96" i="12"/>
  <c r="AC96" i="12"/>
  <c r="AA96" i="12"/>
  <c r="Y96" i="12"/>
  <c r="AK95" i="12"/>
  <c r="AI95" i="12"/>
  <c r="AG95" i="12"/>
  <c r="AE95" i="12"/>
  <c r="AC95" i="12"/>
  <c r="AA95" i="12"/>
  <c r="Y95" i="12"/>
  <c r="AK94" i="12"/>
  <c r="AI94" i="12"/>
  <c r="AG94" i="12"/>
  <c r="AE94" i="12"/>
  <c r="AC94" i="12"/>
  <c r="AA94" i="12"/>
  <c r="Y94" i="12"/>
  <c r="AK93" i="12"/>
  <c r="AI93" i="12"/>
  <c r="AG93" i="12"/>
  <c r="AE93" i="12"/>
  <c r="AC93" i="12"/>
  <c r="AA93" i="12"/>
  <c r="Y93" i="12"/>
  <c r="AK92" i="12"/>
  <c r="AI92" i="12"/>
  <c r="AG92" i="12"/>
  <c r="AE92" i="12"/>
  <c r="AC92" i="12"/>
  <c r="AA92" i="12"/>
  <c r="Y92" i="12"/>
  <c r="AK91" i="12"/>
  <c r="AI91" i="12"/>
  <c r="AG91" i="12"/>
  <c r="AE91" i="12"/>
  <c r="AC91" i="12"/>
  <c r="AA91" i="12"/>
  <c r="Y91" i="12"/>
  <c r="Q91" i="12"/>
  <c r="R91" i="12" s="1"/>
  <c r="P91" i="12"/>
  <c r="N91" i="12"/>
  <c r="C91" i="12"/>
  <c r="AK90" i="12"/>
  <c r="AI90" i="12"/>
  <c r="AG90" i="12"/>
  <c r="AE90" i="12"/>
  <c r="AC90" i="12"/>
  <c r="AA90" i="12"/>
  <c r="Y90" i="12"/>
  <c r="AK89" i="12"/>
  <c r="AI89" i="12"/>
  <c r="AG89" i="12"/>
  <c r="AE89" i="12"/>
  <c r="AC89" i="12"/>
  <c r="AA89" i="12"/>
  <c r="Y89" i="12"/>
  <c r="AK88" i="12"/>
  <c r="AI88" i="12"/>
  <c r="AG88" i="12"/>
  <c r="AE88" i="12"/>
  <c r="AC88" i="12"/>
  <c r="AA88" i="12"/>
  <c r="Y88" i="12"/>
  <c r="AK87" i="12"/>
  <c r="AI87" i="12"/>
  <c r="AG87" i="12"/>
  <c r="AE87" i="12"/>
  <c r="AC87" i="12"/>
  <c r="AA87" i="12"/>
  <c r="Y87" i="12"/>
  <c r="AK86" i="12"/>
  <c r="AI86" i="12"/>
  <c r="AG86" i="12"/>
  <c r="AE86" i="12"/>
  <c r="AC86" i="12"/>
  <c r="AA86" i="12"/>
  <c r="Y86" i="12"/>
  <c r="AK85" i="12"/>
  <c r="AI85" i="12"/>
  <c r="AG85" i="12"/>
  <c r="AE85" i="12"/>
  <c r="AC85" i="12"/>
  <c r="AA85" i="12"/>
  <c r="Y85" i="12"/>
  <c r="Q85" i="12"/>
  <c r="R85" i="12" s="1"/>
  <c r="P85" i="12"/>
  <c r="N85" i="12"/>
  <c r="C85" i="12"/>
  <c r="AK84" i="12"/>
  <c r="AI84" i="12"/>
  <c r="AG84" i="12"/>
  <c r="AE84" i="12"/>
  <c r="AC84" i="12"/>
  <c r="AA84" i="12"/>
  <c r="Y84" i="12"/>
  <c r="AK83" i="12"/>
  <c r="AI83" i="12"/>
  <c r="AG83" i="12"/>
  <c r="AE83" i="12"/>
  <c r="AC83" i="12"/>
  <c r="AA83" i="12"/>
  <c r="Y83" i="12"/>
  <c r="AK82" i="12"/>
  <c r="AI82" i="12"/>
  <c r="AG82" i="12"/>
  <c r="AE82" i="12"/>
  <c r="AC82" i="12"/>
  <c r="AA82" i="12"/>
  <c r="Y82" i="12"/>
  <c r="AK81" i="12"/>
  <c r="AI81" i="12"/>
  <c r="AG81" i="12"/>
  <c r="AE81" i="12"/>
  <c r="AC81" i="12"/>
  <c r="AA81" i="12"/>
  <c r="Y81" i="12"/>
  <c r="AK80" i="12"/>
  <c r="AI80" i="12"/>
  <c r="AG80" i="12"/>
  <c r="AE80" i="12"/>
  <c r="AC80" i="12"/>
  <c r="AA80" i="12"/>
  <c r="Y80" i="12"/>
  <c r="AK79" i="12"/>
  <c r="AI79" i="12"/>
  <c r="AG79" i="12"/>
  <c r="AE79" i="12"/>
  <c r="AC79" i="12"/>
  <c r="AA79" i="12"/>
  <c r="Y79" i="12"/>
  <c r="Q79" i="12"/>
  <c r="R79" i="12" s="1"/>
  <c r="P79" i="12"/>
  <c r="N79" i="12"/>
  <c r="C79" i="12"/>
  <c r="AK78" i="12"/>
  <c r="AI78" i="12"/>
  <c r="AG78" i="12"/>
  <c r="AE78" i="12"/>
  <c r="AC78" i="12"/>
  <c r="AA78" i="12"/>
  <c r="Y78" i="12"/>
  <c r="AK77" i="12"/>
  <c r="AI77" i="12"/>
  <c r="AG77" i="12"/>
  <c r="AE77" i="12"/>
  <c r="AC77" i="12"/>
  <c r="AA77" i="12"/>
  <c r="Y77" i="12"/>
  <c r="AK76" i="12"/>
  <c r="AI76" i="12"/>
  <c r="AG76" i="12"/>
  <c r="AE76" i="12"/>
  <c r="AC76" i="12"/>
  <c r="AA76" i="12"/>
  <c r="Y76" i="12"/>
  <c r="AK75" i="12"/>
  <c r="AI75" i="12"/>
  <c r="AG75" i="12"/>
  <c r="AE75" i="12"/>
  <c r="AC75" i="12"/>
  <c r="AA75" i="12"/>
  <c r="Y75" i="12"/>
  <c r="AK74" i="12"/>
  <c r="AI74" i="12"/>
  <c r="AG74" i="12"/>
  <c r="AE74" i="12"/>
  <c r="AC74" i="12"/>
  <c r="AA74" i="12"/>
  <c r="Y74" i="12"/>
  <c r="AK73" i="12"/>
  <c r="AI73" i="12"/>
  <c r="AG73" i="12"/>
  <c r="AE73" i="12"/>
  <c r="AC73" i="12"/>
  <c r="AA73" i="12"/>
  <c r="Y73" i="12"/>
  <c r="Q73" i="12"/>
  <c r="R73" i="12" s="1"/>
  <c r="P73" i="12"/>
  <c r="N73" i="12"/>
  <c r="C73" i="12"/>
  <c r="AK72" i="12"/>
  <c r="AI72" i="12"/>
  <c r="AG72" i="12"/>
  <c r="AE72" i="12"/>
  <c r="AC72" i="12"/>
  <c r="AA72" i="12"/>
  <c r="Y72" i="12"/>
  <c r="AK71" i="12"/>
  <c r="AI71" i="12"/>
  <c r="AG71" i="12"/>
  <c r="AE71" i="12"/>
  <c r="AC71" i="12"/>
  <c r="AA71" i="12"/>
  <c r="Y71" i="12"/>
  <c r="AK70" i="12"/>
  <c r="AI70" i="12"/>
  <c r="AG70" i="12"/>
  <c r="AE70" i="12"/>
  <c r="AC70" i="12"/>
  <c r="AA70" i="12"/>
  <c r="Y70" i="12"/>
  <c r="AK69" i="12"/>
  <c r="AI69" i="12"/>
  <c r="AG69" i="12"/>
  <c r="AE69" i="12"/>
  <c r="AC69" i="12"/>
  <c r="AA69" i="12"/>
  <c r="Y69" i="12"/>
  <c r="AK68" i="12"/>
  <c r="AI68" i="12"/>
  <c r="AG68" i="12"/>
  <c r="AE68" i="12"/>
  <c r="AC68" i="12"/>
  <c r="AA68" i="12"/>
  <c r="Y68" i="12"/>
  <c r="AK67" i="12"/>
  <c r="AI67" i="12"/>
  <c r="AG67" i="12"/>
  <c r="AE67" i="12"/>
  <c r="AC67" i="12"/>
  <c r="AA67" i="12"/>
  <c r="Y67" i="12"/>
  <c r="Q67" i="12"/>
  <c r="R67" i="12" s="1"/>
  <c r="P67" i="12"/>
  <c r="N67" i="12"/>
  <c r="C67" i="12"/>
  <c r="AK66" i="12"/>
  <c r="AI66" i="12"/>
  <c r="AG66" i="12"/>
  <c r="AE66" i="12"/>
  <c r="AC66" i="12"/>
  <c r="AA66" i="12"/>
  <c r="Y66" i="12"/>
  <c r="AK65" i="12"/>
  <c r="AI65" i="12"/>
  <c r="AG65" i="12"/>
  <c r="AE65" i="12"/>
  <c r="AC65" i="12"/>
  <c r="AA65" i="12"/>
  <c r="Y65" i="12"/>
  <c r="AK64" i="12"/>
  <c r="AI64" i="12"/>
  <c r="AG64" i="12"/>
  <c r="AE64" i="12"/>
  <c r="AC64" i="12"/>
  <c r="AA64" i="12"/>
  <c r="Y64" i="12"/>
  <c r="AK63" i="12"/>
  <c r="AI63" i="12"/>
  <c r="AG63" i="12"/>
  <c r="AE63" i="12"/>
  <c r="AC63" i="12"/>
  <c r="AA63" i="12"/>
  <c r="Y63" i="12"/>
  <c r="AK62" i="12"/>
  <c r="AI62" i="12"/>
  <c r="AG62" i="12"/>
  <c r="AE62" i="12"/>
  <c r="AC62" i="12"/>
  <c r="AA62" i="12"/>
  <c r="Y62" i="12"/>
  <c r="AK61" i="12"/>
  <c r="AI61" i="12"/>
  <c r="AG61" i="12"/>
  <c r="AE61" i="12"/>
  <c r="AC61" i="12"/>
  <c r="AA61" i="12"/>
  <c r="Y61" i="12"/>
  <c r="Q61" i="12"/>
  <c r="R61" i="12" s="1"/>
  <c r="P61" i="12"/>
  <c r="N61" i="12"/>
  <c r="C61" i="12"/>
  <c r="AK60" i="12"/>
  <c r="AI60" i="12"/>
  <c r="AG60" i="12"/>
  <c r="AE60" i="12"/>
  <c r="AC60" i="12"/>
  <c r="AA60" i="12"/>
  <c r="Y60" i="12"/>
  <c r="AK59" i="12"/>
  <c r="AI59" i="12"/>
  <c r="AG59" i="12"/>
  <c r="AE59" i="12"/>
  <c r="AC59" i="12"/>
  <c r="AA59" i="12"/>
  <c r="Y59" i="12"/>
  <c r="AK58" i="12"/>
  <c r="AI58" i="12"/>
  <c r="AG58" i="12"/>
  <c r="AE58" i="12"/>
  <c r="AC58" i="12"/>
  <c r="AA58" i="12"/>
  <c r="Y58" i="12"/>
  <c r="AK57" i="12"/>
  <c r="AI57" i="12"/>
  <c r="AG57" i="12"/>
  <c r="AE57" i="12"/>
  <c r="AC57" i="12"/>
  <c r="AA57" i="12"/>
  <c r="Y57" i="12"/>
  <c r="AK56" i="12"/>
  <c r="AI56" i="12"/>
  <c r="AG56" i="12"/>
  <c r="AE56" i="12"/>
  <c r="AC56" i="12"/>
  <c r="AA56" i="12"/>
  <c r="Y56" i="12"/>
  <c r="AK55" i="12"/>
  <c r="AI55" i="12"/>
  <c r="AG55" i="12"/>
  <c r="AE55" i="12"/>
  <c r="AC55" i="12"/>
  <c r="AA55" i="12"/>
  <c r="Y55" i="12"/>
  <c r="Q55" i="12"/>
  <c r="R55" i="12" s="1"/>
  <c r="P55" i="12"/>
  <c r="N55" i="12"/>
  <c r="C55" i="12"/>
  <c r="AK54" i="12"/>
  <c r="AI54" i="12"/>
  <c r="AG54" i="12"/>
  <c r="AE54" i="12"/>
  <c r="AC54" i="12"/>
  <c r="AA54" i="12"/>
  <c r="Y54" i="12"/>
  <c r="AK53" i="12"/>
  <c r="AI53" i="12"/>
  <c r="AG53" i="12"/>
  <c r="AE53" i="12"/>
  <c r="AC53" i="12"/>
  <c r="AA53" i="12"/>
  <c r="Y53" i="12"/>
  <c r="AK52" i="12"/>
  <c r="AI52" i="12"/>
  <c r="AG52" i="12"/>
  <c r="AE52" i="12"/>
  <c r="AC52" i="12"/>
  <c r="AA52" i="12"/>
  <c r="Y52" i="12"/>
  <c r="AK51" i="12"/>
  <c r="AI51" i="12"/>
  <c r="AG51" i="12"/>
  <c r="AE51" i="12"/>
  <c r="AC51" i="12"/>
  <c r="AA51" i="12"/>
  <c r="Y51" i="12"/>
  <c r="AK50" i="12"/>
  <c r="AI50" i="12"/>
  <c r="AG50" i="12"/>
  <c r="AE50" i="12"/>
  <c r="AC50" i="12"/>
  <c r="AA50" i="12"/>
  <c r="Y50" i="12"/>
  <c r="AK49" i="12"/>
  <c r="AI49" i="12"/>
  <c r="AG49" i="12"/>
  <c r="AE49" i="12"/>
  <c r="AC49" i="12"/>
  <c r="AA49" i="12"/>
  <c r="Y49" i="12"/>
  <c r="Q49" i="12"/>
  <c r="R49" i="12" s="1"/>
  <c r="P49" i="12"/>
  <c r="N49" i="12"/>
  <c r="C49" i="12"/>
  <c r="AK48" i="12"/>
  <c r="AI48" i="12"/>
  <c r="AG48" i="12"/>
  <c r="AE48" i="12"/>
  <c r="AC48" i="12"/>
  <c r="AA48" i="12"/>
  <c r="Y48" i="12"/>
  <c r="AK47" i="12"/>
  <c r="AI47" i="12"/>
  <c r="AG47" i="12"/>
  <c r="AE47" i="12"/>
  <c r="AC47" i="12"/>
  <c r="AA47" i="12"/>
  <c r="Y47" i="12"/>
  <c r="AK46" i="12"/>
  <c r="AI46" i="12"/>
  <c r="AG46" i="12"/>
  <c r="AE46" i="12"/>
  <c r="AC46" i="12"/>
  <c r="AA46" i="12"/>
  <c r="Y46" i="12"/>
  <c r="AK45" i="12"/>
  <c r="AI45" i="12"/>
  <c r="AG45" i="12"/>
  <c r="AE45" i="12"/>
  <c r="AC45" i="12"/>
  <c r="AA45" i="12"/>
  <c r="Y45" i="12"/>
  <c r="AK44" i="12"/>
  <c r="AI44" i="12"/>
  <c r="AG44" i="12"/>
  <c r="AE44" i="12"/>
  <c r="AC44" i="12"/>
  <c r="AA44" i="12"/>
  <c r="Y44" i="12"/>
  <c r="AK43" i="12"/>
  <c r="AI43" i="12"/>
  <c r="AG43" i="12"/>
  <c r="AE43" i="12"/>
  <c r="AC43" i="12"/>
  <c r="AA43" i="12"/>
  <c r="Y43" i="12"/>
  <c r="Q43" i="12"/>
  <c r="R43" i="12" s="1"/>
  <c r="P43" i="12"/>
  <c r="N43" i="12"/>
  <c r="C43" i="12"/>
  <c r="AK42" i="12"/>
  <c r="AI42" i="12"/>
  <c r="AG42" i="12"/>
  <c r="AE42" i="12"/>
  <c r="AC42" i="12"/>
  <c r="AA42" i="12"/>
  <c r="Y42" i="12"/>
  <c r="AK41" i="12"/>
  <c r="AI41" i="12"/>
  <c r="AG41" i="12"/>
  <c r="AE41" i="12"/>
  <c r="AC41" i="12"/>
  <c r="AA41" i="12"/>
  <c r="Y41" i="12"/>
  <c r="AK40" i="12"/>
  <c r="AI40" i="12"/>
  <c r="AG40" i="12"/>
  <c r="AE40" i="12"/>
  <c r="AC40" i="12"/>
  <c r="AA40" i="12"/>
  <c r="Y40" i="12"/>
  <c r="AK39" i="12"/>
  <c r="AI39" i="12"/>
  <c r="AG39" i="12"/>
  <c r="AE39" i="12"/>
  <c r="AC39" i="12"/>
  <c r="AA39" i="12"/>
  <c r="Y39" i="12"/>
  <c r="AK38" i="12"/>
  <c r="AI38" i="12"/>
  <c r="AG38" i="12"/>
  <c r="AE38" i="12"/>
  <c r="AC38" i="12"/>
  <c r="AA38" i="12"/>
  <c r="Y38" i="12"/>
  <c r="AK37" i="12"/>
  <c r="AI37" i="12"/>
  <c r="AG37" i="12"/>
  <c r="AE37" i="12"/>
  <c r="AC37" i="12"/>
  <c r="AA37" i="12"/>
  <c r="Y37" i="12"/>
  <c r="Q37" i="12"/>
  <c r="R37" i="12" s="1"/>
  <c r="P37" i="12"/>
  <c r="N37" i="12"/>
  <c r="C37" i="12"/>
  <c r="AK36" i="12"/>
  <c r="AI36" i="12"/>
  <c r="AG36" i="12"/>
  <c r="AE36" i="12"/>
  <c r="AC36" i="12"/>
  <c r="AA36" i="12"/>
  <c r="Y36" i="12"/>
  <c r="AK35" i="12"/>
  <c r="AI35" i="12"/>
  <c r="AG35" i="12"/>
  <c r="AE35" i="12"/>
  <c r="AC35" i="12"/>
  <c r="AA35" i="12"/>
  <c r="Y35" i="12"/>
  <c r="AK34" i="12"/>
  <c r="AI34" i="12"/>
  <c r="AG34" i="12"/>
  <c r="AE34" i="12"/>
  <c r="AC34" i="12"/>
  <c r="AA34" i="12"/>
  <c r="Y34" i="12"/>
  <c r="AK33" i="12"/>
  <c r="AI33" i="12"/>
  <c r="AG33" i="12"/>
  <c r="AE33" i="12"/>
  <c r="AC33" i="12"/>
  <c r="AA33" i="12"/>
  <c r="Y33" i="12"/>
  <c r="AK32" i="12"/>
  <c r="AI32" i="12"/>
  <c r="AG32" i="12"/>
  <c r="AE32" i="12"/>
  <c r="AC32" i="12"/>
  <c r="AA32" i="12"/>
  <c r="Y32" i="12"/>
  <c r="AK31" i="12"/>
  <c r="AI31" i="12"/>
  <c r="AG31" i="12"/>
  <c r="AE31" i="12"/>
  <c r="AC31" i="12"/>
  <c r="AA31" i="12"/>
  <c r="Y31" i="12"/>
  <c r="Q31" i="12"/>
  <c r="R31" i="12" s="1"/>
  <c r="P31" i="12"/>
  <c r="N31" i="12"/>
  <c r="C31" i="12"/>
  <c r="AK30" i="12"/>
  <c r="AI30" i="12"/>
  <c r="AG30" i="12"/>
  <c r="AE30" i="12"/>
  <c r="AC30" i="12"/>
  <c r="AA30" i="12"/>
  <c r="Y30" i="12"/>
  <c r="AK29" i="12"/>
  <c r="AI29" i="12"/>
  <c r="AG29" i="12"/>
  <c r="AE29" i="12"/>
  <c r="AC29" i="12"/>
  <c r="AA29" i="12"/>
  <c r="Y29" i="12"/>
  <c r="AK28" i="12"/>
  <c r="AI28" i="12"/>
  <c r="AG28" i="12"/>
  <c r="AE28" i="12"/>
  <c r="AC28" i="12"/>
  <c r="AA28" i="12"/>
  <c r="Y28" i="12"/>
  <c r="AK27" i="12"/>
  <c r="AI27" i="12"/>
  <c r="AG27" i="12"/>
  <c r="AE27" i="12"/>
  <c r="AC27" i="12"/>
  <c r="AA27" i="12"/>
  <c r="Y27" i="12"/>
  <c r="AK26" i="12"/>
  <c r="AI26" i="12"/>
  <c r="AG26" i="12"/>
  <c r="AE26" i="12"/>
  <c r="AC26" i="12"/>
  <c r="AA26" i="12"/>
  <c r="Y26" i="12"/>
  <c r="AK25" i="12"/>
  <c r="AI25" i="12"/>
  <c r="AG25" i="12"/>
  <c r="AE25" i="12"/>
  <c r="AC25" i="12"/>
  <c r="AA25" i="12"/>
  <c r="Y25" i="12"/>
  <c r="Q25" i="12"/>
  <c r="R25" i="12" s="1"/>
  <c r="P25" i="12"/>
  <c r="N25" i="12"/>
  <c r="C25" i="12"/>
  <c r="AK24" i="12"/>
  <c r="AI24" i="12"/>
  <c r="AG24" i="12"/>
  <c r="AE24" i="12"/>
  <c r="AC24" i="12"/>
  <c r="AA24" i="12"/>
  <c r="Y24" i="12"/>
  <c r="AK23" i="12"/>
  <c r="AI23" i="12"/>
  <c r="AG23" i="12"/>
  <c r="AE23" i="12"/>
  <c r="AC23" i="12"/>
  <c r="AA23" i="12"/>
  <c r="Y23" i="12"/>
  <c r="AK22" i="12"/>
  <c r="AI22" i="12"/>
  <c r="AG22" i="12"/>
  <c r="AE22" i="12"/>
  <c r="AC22" i="12"/>
  <c r="AA22" i="12"/>
  <c r="Y22" i="12"/>
  <c r="AK21" i="12"/>
  <c r="AI21" i="12"/>
  <c r="AG21" i="12"/>
  <c r="AE21" i="12"/>
  <c r="AC21" i="12"/>
  <c r="AA21" i="12"/>
  <c r="Y21" i="12"/>
  <c r="AK20" i="12"/>
  <c r="AI20" i="12"/>
  <c r="AG20" i="12"/>
  <c r="AE20" i="12"/>
  <c r="AC20" i="12"/>
  <c r="AA20" i="12"/>
  <c r="Y20" i="12"/>
  <c r="AK19" i="12"/>
  <c r="AI19" i="12"/>
  <c r="AG19" i="12"/>
  <c r="AE19" i="12"/>
  <c r="AC19" i="12"/>
  <c r="AA19" i="12"/>
  <c r="Y19" i="12"/>
  <c r="Q19" i="12"/>
  <c r="R19" i="12" s="1"/>
  <c r="P19" i="12"/>
  <c r="N19" i="12"/>
  <c r="C19" i="12"/>
  <c r="AK18" i="12"/>
  <c r="AI18" i="12"/>
  <c r="AG18" i="12"/>
  <c r="AE18" i="12"/>
  <c r="AC18" i="12"/>
  <c r="AA18" i="12"/>
  <c r="Y18" i="12"/>
  <c r="AK17" i="12"/>
  <c r="AI17" i="12"/>
  <c r="AG17" i="12"/>
  <c r="AE17" i="12"/>
  <c r="AC17" i="12"/>
  <c r="AA17" i="12"/>
  <c r="Y17" i="12"/>
  <c r="AK16" i="12"/>
  <c r="AI16" i="12"/>
  <c r="AG16" i="12"/>
  <c r="AE16" i="12"/>
  <c r="AC16" i="12"/>
  <c r="AA16" i="12"/>
  <c r="Y16" i="12"/>
  <c r="AK15" i="12"/>
  <c r="AI15" i="12"/>
  <c r="AG15" i="12"/>
  <c r="AE15" i="12"/>
  <c r="AC15" i="12"/>
  <c r="AA15" i="12"/>
  <c r="Y15" i="12"/>
  <c r="AK14" i="12"/>
  <c r="AI14" i="12"/>
  <c r="AG14" i="12"/>
  <c r="AE14" i="12"/>
  <c r="AC14" i="12"/>
  <c r="AA14" i="12"/>
  <c r="Y14" i="12"/>
  <c r="AK13" i="12"/>
  <c r="AI13" i="12"/>
  <c r="AG13" i="12"/>
  <c r="AE13" i="12"/>
  <c r="AC13" i="12"/>
  <c r="AA13" i="12"/>
  <c r="Y13" i="12"/>
  <c r="Q13" i="12"/>
  <c r="R13" i="12" s="1"/>
  <c r="P13" i="12"/>
  <c r="N13" i="12"/>
  <c r="C13" i="12"/>
  <c r="AK12" i="12"/>
  <c r="AI12" i="12"/>
  <c r="AG12" i="12"/>
  <c r="AE12" i="12"/>
  <c r="AC12" i="12"/>
  <c r="AA12" i="12"/>
  <c r="Y12" i="12"/>
  <c r="AK11" i="12"/>
  <c r="AI11" i="12"/>
  <c r="AG11" i="12"/>
  <c r="AE11" i="12"/>
  <c r="AC11" i="12"/>
  <c r="AA11" i="12"/>
  <c r="Y11" i="12"/>
  <c r="AK10" i="12"/>
  <c r="AI10" i="12"/>
  <c r="AG10" i="12"/>
  <c r="AE10" i="12"/>
  <c r="AC10" i="12"/>
  <c r="AA10" i="12"/>
  <c r="Y10" i="12"/>
  <c r="AK9" i="12"/>
  <c r="AI9" i="12"/>
  <c r="AG9" i="12"/>
  <c r="AE9" i="12"/>
  <c r="AC9" i="12"/>
  <c r="AA9" i="12"/>
  <c r="Y9" i="12"/>
  <c r="AK8" i="12"/>
  <c r="AK7" i="12"/>
  <c r="Q7" i="12"/>
  <c r="R7" i="12" s="1"/>
  <c r="P7" i="12"/>
  <c r="N7" i="12"/>
  <c r="C7" i="12"/>
  <c r="M319" i="10"/>
  <c r="M313" i="10"/>
  <c r="M307" i="10"/>
  <c r="M301" i="10"/>
  <c r="M295" i="10"/>
  <c r="M289" i="10"/>
  <c r="M283" i="10"/>
  <c r="M277" i="10"/>
  <c r="M271" i="10"/>
  <c r="M265" i="10"/>
  <c r="M259" i="10"/>
  <c r="M253" i="10"/>
  <c r="M247" i="10"/>
  <c r="M241" i="10"/>
  <c r="M235" i="10"/>
  <c r="M229" i="10"/>
  <c r="M223" i="10"/>
  <c r="M217" i="10"/>
  <c r="M211" i="10"/>
  <c r="M205" i="10"/>
  <c r="M199" i="10"/>
  <c r="M193" i="10"/>
  <c r="M187" i="10"/>
  <c r="M181" i="10"/>
  <c r="M175" i="10"/>
  <c r="M169" i="10"/>
  <c r="M163" i="10"/>
  <c r="M157" i="10"/>
  <c r="M151" i="10"/>
  <c r="M145" i="10"/>
  <c r="M139" i="10"/>
  <c r="M133" i="10"/>
  <c r="M127" i="10"/>
  <c r="M121" i="10"/>
  <c r="M115" i="10"/>
  <c r="M109" i="10"/>
  <c r="M103" i="10"/>
  <c r="M97" i="10"/>
  <c r="M91" i="10"/>
  <c r="M85" i="10"/>
  <c r="M79" i="10"/>
  <c r="M73" i="10"/>
  <c r="M67" i="10"/>
  <c r="M61" i="10"/>
  <c r="M55" i="10"/>
  <c r="M49" i="10"/>
  <c r="M43" i="10"/>
  <c r="M37" i="10"/>
  <c r="M31" i="10"/>
  <c r="M25" i="10"/>
  <c r="M19" i="10"/>
  <c r="M7" i="10"/>
  <c r="N319" i="10"/>
  <c r="N313" i="10"/>
  <c r="N307" i="10"/>
  <c r="N301" i="10"/>
  <c r="N295" i="10"/>
  <c r="N289" i="10"/>
  <c r="N283" i="10"/>
  <c r="N277" i="10"/>
  <c r="N271" i="10"/>
  <c r="N265" i="10"/>
  <c r="N259" i="10"/>
  <c r="N253" i="10"/>
  <c r="N247" i="10"/>
  <c r="N241" i="10"/>
  <c r="N235" i="10"/>
  <c r="N229" i="10"/>
  <c r="N223" i="10"/>
  <c r="N217" i="10"/>
  <c r="N211" i="10"/>
  <c r="N205" i="10"/>
  <c r="N199" i="10"/>
  <c r="N193" i="10"/>
  <c r="N187" i="10"/>
  <c r="N181" i="10"/>
  <c r="N175" i="10"/>
  <c r="N169" i="10"/>
  <c r="N163" i="10"/>
  <c r="N157" i="10"/>
  <c r="N151" i="10"/>
  <c r="N145" i="10"/>
  <c r="N139" i="10"/>
  <c r="N133" i="10"/>
  <c r="N127" i="10"/>
  <c r="N121" i="10"/>
  <c r="N115" i="10"/>
  <c r="N109" i="10"/>
  <c r="N103" i="10"/>
  <c r="N97" i="10"/>
  <c r="N91" i="10"/>
  <c r="N85" i="10"/>
  <c r="N79" i="10"/>
  <c r="N73" i="10"/>
  <c r="N67" i="10"/>
  <c r="N61" i="10"/>
  <c r="N55" i="10"/>
  <c r="N49" i="10"/>
  <c r="N43" i="10"/>
  <c r="N37" i="10"/>
  <c r="N31" i="10"/>
  <c r="N25" i="10"/>
  <c r="N19" i="10"/>
  <c r="N7" i="10"/>
  <c r="C19" i="11"/>
  <c r="AQ12" i="10" l="1"/>
  <c r="AQ10" i="10"/>
  <c r="AQ11" i="10"/>
  <c r="BL19" i="12"/>
  <c r="BJ19" i="12"/>
  <c r="BM19" i="12"/>
  <c r="BK19" i="12"/>
  <c r="BL25" i="12"/>
  <c r="BJ25" i="12"/>
  <c r="BM25" i="12"/>
  <c r="BK25" i="12"/>
  <c r="BL31" i="12"/>
  <c r="BJ31" i="12"/>
  <c r="BM31" i="12"/>
  <c r="BK31" i="12"/>
  <c r="BL37" i="12"/>
  <c r="BJ37" i="12"/>
  <c r="BM37" i="12"/>
  <c r="BK37" i="12"/>
  <c r="BL43" i="12"/>
  <c r="BJ43" i="12"/>
  <c r="BK43" i="12"/>
  <c r="BM43" i="12"/>
  <c r="BL49" i="12"/>
  <c r="BJ49" i="12"/>
  <c r="BM49" i="12"/>
  <c r="BK49" i="12"/>
  <c r="BL55" i="12"/>
  <c r="BJ55" i="12"/>
  <c r="BM55" i="12"/>
  <c r="BK55" i="12"/>
  <c r="BL61" i="12"/>
  <c r="BJ61" i="12"/>
  <c r="BM61" i="12"/>
  <c r="BK61" i="12"/>
  <c r="BL67" i="12"/>
  <c r="BJ67" i="12"/>
  <c r="BM67" i="12"/>
  <c r="BK67" i="12"/>
  <c r="BL73" i="12"/>
  <c r="BJ73" i="12"/>
  <c r="BM73" i="12"/>
  <c r="BK73" i="12"/>
  <c r="BL79" i="12"/>
  <c r="BJ79" i="12"/>
  <c r="BM79" i="12"/>
  <c r="BK79" i="12"/>
  <c r="BL85" i="12"/>
  <c r="BJ85" i="12"/>
  <c r="BM85" i="12"/>
  <c r="BK85" i="12"/>
  <c r="BL91" i="12"/>
  <c r="BJ91" i="12"/>
  <c r="BM91" i="12"/>
  <c r="BK91" i="12"/>
  <c r="BL97" i="12"/>
  <c r="BJ97" i="12"/>
  <c r="BM97" i="12"/>
  <c r="BK97" i="12"/>
  <c r="BL103" i="12"/>
  <c r="BJ103" i="12"/>
  <c r="BM103" i="12"/>
  <c r="BK103" i="12"/>
  <c r="BM109" i="12"/>
  <c r="BL109" i="12"/>
  <c r="BJ109" i="12"/>
  <c r="BK109" i="12"/>
  <c r="BM115" i="12"/>
  <c r="BK115" i="12"/>
  <c r="BL115" i="12"/>
  <c r="BJ115" i="12"/>
  <c r="BM121" i="12"/>
  <c r="BK121" i="12"/>
  <c r="BL121" i="12"/>
  <c r="BJ121" i="12"/>
  <c r="BM127" i="12"/>
  <c r="BK127" i="12"/>
  <c r="BL127" i="12"/>
  <c r="BJ127" i="12"/>
  <c r="BM133" i="12"/>
  <c r="BK133" i="12"/>
  <c r="BL133" i="12"/>
  <c r="BJ133" i="12"/>
  <c r="BM139" i="12"/>
  <c r="BK139" i="12"/>
  <c r="BL139" i="12"/>
  <c r="BJ139" i="12"/>
  <c r="BM145" i="12"/>
  <c r="BK145" i="12"/>
  <c r="BL145" i="12"/>
  <c r="BJ145" i="12"/>
  <c r="BM151" i="12"/>
  <c r="BK151" i="12"/>
  <c r="BL151" i="12"/>
  <c r="BJ151" i="12"/>
  <c r="BM157" i="12"/>
  <c r="BK157" i="12"/>
  <c r="BL157" i="12"/>
  <c r="BJ157" i="12"/>
  <c r="BM163" i="12"/>
  <c r="BK163" i="12"/>
  <c r="BL163" i="12"/>
  <c r="BJ163" i="12"/>
  <c r="BM169" i="12"/>
  <c r="BK169" i="12"/>
  <c r="BL169" i="12"/>
  <c r="BJ169" i="12"/>
  <c r="BM175" i="12"/>
  <c r="BK175" i="12"/>
  <c r="BL175" i="12"/>
  <c r="BJ175" i="12"/>
  <c r="BM181" i="12"/>
  <c r="BK181" i="12"/>
  <c r="BL181" i="12"/>
  <c r="BJ181" i="12"/>
  <c r="BM187" i="12"/>
  <c r="BK187" i="12"/>
  <c r="BL187" i="12"/>
  <c r="BJ187" i="12"/>
  <c r="BM193" i="12"/>
  <c r="BK193" i="12"/>
  <c r="BL193" i="12"/>
  <c r="BJ193" i="12"/>
  <c r="BM199" i="12"/>
  <c r="BK199" i="12"/>
  <c r="BL199" i="12"/>
  <c r="BJ199" i="12"/>
  <c r="BM205" i="12"/>
  <c r="BK205" i="12"/>
  <c r="BL205" i="12"/>
  <c r="BJ205" i="12"/>
  <c r="BM211" i="12"/>
  <c r="BK211" i="12"/>
  <c r="BL211" i="12"/>
  <c r="BJ211" i="12"/>
  <c r="BM217" i="12"/>
  <c r="BK217" i="12"/>
  <c r="BL217" i="12"/>
  <c r="BJ217" i="12"/>
  <c r="BM223" i="12"/>
  <c r="BK223" i="12"/>
  <c r="BL223" i="12"/>
  <c r="BJ223" i="12"/>
  <c r="BM229" i="12"/>
  <c r="BK229" i="12"/>
  <c r="BL229" i="12"/>
  <c r="BJ229" i="12"/>
  <c r="BM235" i="12"/>
  <c r="BK235" i="12"/>
  <c r="BL235" i="12"/>
  <c r="BJ235" i="12"/>
  <c r="BM241" i="12"/>
  <c r="BK241" i="12"/>
  <c r="BL241" i="12"/>
  <c r="BJ241" i="12"/>
  <c r="BM247" i="12"/>
  <c r="BK247" i="12"/>
  <c r="BL247" i="12"/>
  <c r="BJ247" i="12"/>
  <c r="BM253" i="12"/>
  <c r="BK253" i="12"/>
  <c r="BL253" i="12"/>
  <c r="BJ253" i="12"/>
  <c r="BM259" i="12"/>
  <c r="BK259" i="12"/>
  <c r="BL259" i="12"/>
  <c r="BJ259" i="12"/>
  <c r="BM265" i="12"/>
  <c r="BK265" i="12"/>
  <c r="BL265" i="12"/>
  <c r="BJ265" i="12"/>
  <c r="BM271" i="12"/>
  <c r="BK271" i="12"/>
  <c r="BL271" i="12"/>
  <c r="BJ271" i="12"/>
  <c r="BM277" i="12"/>
  <c r="BK277" i="12"/>
  <c r="BL277" i="12"/>
  <c r="BJ277" i="12"/>
  <c r="BM283" i="12"/>
  <c r="BK283" i="12"/>
  <c r="BL283" i="12"/>
  <c r="BJ283" i="12"/>
  <c r="BM289" i="12"/>
  <c r="BK289" i="12"/>
  <c r="BL289" i="12"/>
  <c r="BJ289" i="12"/>
  <c r="BM295" i="12"/>
  <c r="BK295" i="12"/>
  <c r="BL295" i="12"/>
  <c r="BJ295" i="12"/>
  <c r="BM301" i="12"/>
  <c r="BK301" i="12"/>
  <c r="BL301" i="12"/>
  <c r="BJ301" i="12"/>
  <c r="BM307" i="12"/>
  <c r="BK307" i="12"/>
  <c r="BL307" i="12"/>
  <c r="BJ307" i="12"/>
  <c r="BM313" i="12"/>
  <c r="BK313" i="12"/>
  <c r="BL313" i="12"/>
  <c r="BJ313" i="12"/>
  <c r="BM319" i="12"/>
  <c r="BK319" i="12"/>
  <c r="BL319" i="12"/>
  <c r="BJ319" i="12"/>
  <c r="BM325" i="12"/>
  <c r="BK325" i="12"/>
  <c r="BL325" i="12"/>
  <c r="BJ325" i="12"/>
  <c r="BM331" i="12"/>
  <c r="BK331" i="12"/>
  <c r="BL331" i="12"/>
  <c r="BJ331" i="12"/>
  <c r="BM337" i="12"/>
  <c r="BK337" i="12"/>
  <c r="BL337" i="12"/>
  <c r="BJ337" i="12"/>
  <c r="BM343" i="12"/>
  <c r="BK343" i="12"/>
  <c r="BL343" i="12"/>
  <c r="BJ343" i="12"/>
  <c r="BM349" i="12"/>
  <c r="BK349" i="12"/>
  <c r="BL349" i="12"/>
  <c r="BJ349" i="12"/>
  <c r="BM355" i="12"/>
  <c r="BK355" i="12"/>
  <c r="BL355" i="12"/>
  <c r="BJ355" i="12"/>
  <c r="BM361" i="12"/>
  <c r="BK361" i="12"/>
  <c r="BL361" i="12"/>
  <c r="BJ361" i="12"/>
  <c r="BM13" i="12"/>
  <c r="BL13" i="12"/>
  <c r="BJ13" i="12"/>
  <c r="BK13" i="12"/>
  <c r="BM7" i="12"/>
  <c r="BL7" i="12"/>
  <c r="BK7" i="12"/>
  <c r="BJ7" i="12"/>
  <c r="AL8" i="12"/>
  <c r="AM8" i="12" s="1"/>
  <c r="AL39" i="12"/>
  <c r="AM39" i="12" s="1"/>
  <c r="AL43" i="12"/>
  <c r="AM43" i="12" s="1"/>
  <c r="AL130" i="12"/>
  <c r="AM130" i="12" s="1"/>
  <c r="AL132" i="12"/>
  <c r="AM132" i="12" s="1"/>
  <c r="AL140" i="12"/>
  <c r="AM140" i="12" s="1"/>
  <c r="AL158" i="12"/>
  <c r="AM158" i="12" s="1"/>
  <c r="AL161" i="12"/>
  <c r="AM161" i="12" s="1"/>
  <c r="AL162" i="12"/>
  <c r="AM162" i="12" s="1"/>
  <c r="AL163" i="12"/>
  <c r="AM163" i="12" s="1"/>
  <c r="AL170" i="12"/>
  <c r="AM170" i="12" s="1"/>
  <c r="AL171" i="12"/>
  <c r="AM171" i="12" s="1"/>
  <c r="AL172" i="12"/>
  <c r="AM172" i="12" s="1"/>
  <c r="AL173" i="12"/>
  <c r="AM173" i="12" s="1"/>
  <c r="AL174" i="12"/>
  <c r="AM174" i="12" s="1"/>
  <c r="AL175" i="12"/>
  <c r="AM175" i="12" s="1"/>
  <c r="AL182" i="12"/>
  <c r="AM182" i="12" s="1"/>
  <c r="AL183" i="12"/>
  <c r="AM183" i="12" s="1"/>
  <c r="AL184" i="12"/>
  <c r="AM184" i="12" s="1"/>
  <c r="AL185" i="12"/>
  <c r="AM185" i="12" s="1"/>
  <c r="AL186" i="12"/>
  <c r="AM186" i="12" s="1"/>
  <c r="AL187" i="12"/>
  <c r="AM187" i="12" s="1"/>
  <c r="AL194" i="12"/>
  <c r="AM194" i="12" s="1"/>
  <c r="AL195" i="12"/>
  <c r="AM195" i="12" s="1"/>
  <c r="AL196" i="12"/>
  <c r="AM196" i="12" s="1"/>
  <c r="AL197" i="12"/>
  <c r="AM197" i="12" s="1"/>
  <c r="AL198" i="12"/>
  <c r="AM198" i="12" s="1"/>
  <c r="AL199" i="12"/>
  <c r="AM199" i="12" s="1"/>
  <c r="AL204" i="12"/>
  <c r="AM204" i="12" s="1"/>
  <c r="AL213" i="12"/>
  <c r="AM213" i="12" s="1"/>
  <c r="AL216" i="12"/>
  <c r="AM216" i="12" s="1"/>
  <c r="AL217" i="12"/>
  <c r="AM217" i="12" s="1"/>
  <c r="AL219" i="12"/>
  <c r="AM219" i="12" s="1"/>
  <c r="AL268" i="12"/>
  <c r="AM268" i="12" s="1"/>
  <c r="AL269" i="12"/>
  <c r="AM269" i="12" s="1"/>
  <c r="AL52" i="12"/>
  <c r="AM52" i="12" s="1"/>
  <c r="AL62" i="12"/>
  <c r="AM62" i="12" s="1"/>
  <c r="AL64" i="12"/>
  <c r="AM64" i="12" s="1"/>
  <c r="AL65" i="12"/>
  <c r="AM65" i="12" s="1"/>
  <c r="AL67" i="12"/>
  <c r="AM67" i="12" s="1"/>
  <c r="AL69" i="12"/>
  <c r="AM69" i="12" s="1"/>
  <c r="AL71" i="12"/>
  <c r="AM71" i="12" s="1"/>
  <c r="AL87" i="12"/>
  <c r="AM87" i="12" s="1"/>
  <c r="AL91" i="12"/>
  <c r="AM91" i="12" s="1"/>
  <c r="AL94" i="12"/>
  <c r="AM94" i="12" s="1"/>
  <c r="AL110" i="12"/>
  <c r="AM110" i="12" s="1"/>
  <c r="AL111" i="12"/>
  <c r="AM111" i="12" s="1"/>
  <c r="AL112" i="12"/>
  <c r="AM112" i="12" s="1"/>
  <c r="AL117" i="12"/>
  <c r="AM117" i="12" s="1"/>
  <c r="AL119" i="12"/>
  <c r="AM119" i="12" s="1"/>
  <c r="AL123" i="12"/>
  <c r="AM123" i="12" s="1"/>
  <c r="AL125" i="12"/>
  <c r="AM125" i="12" s="1"/>
  <c r="AL128" i="12"/>
  <c r="AM128" i="12" s="1"/>
  <c r="AL151" i="12"/>
  <c r="AM151" i="12" s="1"/>
  <c r="AL284" i="12"/>
  <c r="AM284" i="12" s="1"/>
  <c r="AL299" i="12"/>
  <c r="AM299" i="12" s="1"/>
  <c r="AL306" i="12"/>
  <c r="AM306" i="12" s="1"/>
  <c r="AL308" i="12"/>
  <c r="AM308" i="12" s="1"/>
  <c r="AL309" i="12"/>
  <c r="AM309" i="12" s="1"/>
  <c r="AL312" i="12"/>
  <c r="AM312" i="12" s="1"/>
  <c r="AL313" i="12"/>
  <c r="AM313" i="12" s="1"/>
  <c r="AL316" i="12"/>
  <c r="AM316" i="12" s="1"/>
  <c r="AL317" i="12"/>
  <c r="AM317" i="12" s="1"/>
  <c r="AL323" i="12"/>
  <c r="AM323" i="12" s="1"/>
  <c r="AL59" i="12"/>
  <c r="AM59" i="12" s="1"/>
  <c r="AL66" i="12"/>
  <c r="AM66" i="12" s="1"/>
  <c r="AL68" i="12"/>
  <c r="AM68" i="12" s="1"/>
  <c r="AL70" i="12"/>
  <c r="AM70" i="12" s="1"/>
  <c r="AL72" i="12"/>
  <c r="AM72" i="12" s="1"/>
  <c r="AL86" i="12"/>
  <c r="AM86" i="12" s="1"/>
  <c r="AL88" i="12"/>
  <c r="AM88" i="12" s="1"/>
  <c r="AL92" i="12"/>
  <c r="AM92" i="12" s="1"/>
  <c r="AL96" i="12"/>
  <c r="AM96" i="12" s="1"/>
  <c r="AL51" i="12"/>
  <c r="AM51" i="12" s="1"/>
  <c r="AL53" i="12"/>
  <c r="AM53" i="12" s="1"/>
  <c r="AL230" i="12"/>
  <c r="AM230" i="12" s="1"/>
  <c r="AL232" i="12"/>
  <c r="AM232" i="12" s="1"/>
  <c r="AL234" i="12"/>
  <c r="AM234" i="12" s="1"/>
  <c r="AL243" i="12"/>
  <c r="AM243" i="12" s="1"/>
  <c r="AL245" i="12"/>
  <c r="AM245" i="12" s="1"/>
  <c r="AL247" i="12"/>
  <c r="AM247" i="12" s="1"/>
  <c r="AL254" i="12"/>
  <c r="AM254" i="12" s="1"/>
  <c r="AL256" i="12"/>
  <c r="AM256" i="12" s="1"/>
  <c r="AL40" i="12"/>
  <c r="AM40" i="12" s="1"/>
  <c r="AL41" i="12"/>
  <c r="AM41" i="12" s="1"/>
  <c r="AL290" i="12"/>
  <c r="AM290" i="12" s="1"/>
  <c r="AL293" i="12"/>
  <c r="AM293" i="12" s="1"/>
  <c r="AL294" i="12"/>
  <c r="AM294" i="12" s="1"/>
  <c r="AL50" i="12"/>
  <c r="AM50" i="12" s="1"/>
  <c r="AL7" i="12"/>
  <c r="AL14" i="12"/>
  <c r="AM14" i="12" s="1"/>
  <c r="AL15" i="12"/>
  <c r="AM15" i="12" s="1"/>
  <c r="AL16" i="12"/>
  <c r="AM16" i="12" s="1"/>
  <c r="AL17" i="12"/>
  <c r="AM17" i="12" s="1"/>
  <c r="AL18" i="12"/>
  <c r="AM18" i="12" s="1"/>
  <c r="AL19" i="12"/>
  <c r="AM19" i="12" s="1"/>
  <c r="AL26" i="12"/>
  <c r="AM26" i="12" s="1"/>
  <c r="AL27" i="12"/>
  <c r="AM27" i="12" s="1"/>
  <c r="AL28" i="12"/>
  <c r="AM28" i="12" s="1"/>
  <c r="AL29" i="12"/>
  <c r="AM29" i="12" s="1"/>
  <c r="AL30" i="12"/>
  <c r="AM30" i="12" s="1"/>
  <c r="AL31" i="12"/>
  <c r="AM31" i="12" s="1"/>
  <c r="AL89" i="12"/>
  <c r="AM89" i="12" s="1"/>
  <c r="AL90" i="12"/>
  <c r="AM90" i="12" s="1"/>
  <c r="AL9" i="12"/>
  <c r="AM9" i="12" s="1"/>
  <c r="AL10" i="12"/>
  <c r="AM10" i="12" s="1"/>
  <c r="AL11" i="12"/>
  <c r="AM11" i="12" s="1"/>
  <c r="AL12" i="12"/>
  <c r="AM12" i="12" s="1"/>
  <c r="AL13" i="12"/>
  <c r="AM13" i="12" s="1"/>
  <c r="AL20" i="12"/>
  <c r="AM20" i="12" s="1"/>
  <c r="AL21" i="12"/>
  <c r="AM21" i="12" s="1"/>
  <c r="AL22" i="12"/>
  <c r="AM22" i="12" s="1"/>
  <c r="AL23" i="12"/>
  <c r="AM23" i="12" s="1"/>
  <c r="AL24" i="12"/>
  <c r="AM24" i="12" s="1"/>
  <c r="AL25" i="12"/>
  <c r="AM25" i="12" s="1"/>
  <c r="AL32" i="12"/>
  <c r="AM32" i="12" s="1"/>
  <c r="AL42" i="12"/>
  <c r="AM42" i="12" s="1"/>
  <c r="AL33" i="12"/>
  <c r="AM33" i="12" s="1"/>
  <c r="AL34" i="12"/>
  <c r="AM34" i="12" s="1"/>
  <c r="AL35" i="12"/>
  <c r="AM35" i="12" s="1"/>
  <c r="AL36" i="12"/>
  <c r="AM36" i="12" s="1"/>
  <c r="AL37" i="12"/>
  <c r="AM37" i="12" s="1"/>
  <c r="AL44" i="12"/>
  <c r="AM44" i="12" s="1"/>
  <c r="AL45" i="12"/>
  <c r="AM45" i="12" s="1"/>
  <c r="AL46" i="12"/>
  <c r="AM46" i="12" s="1"/>
  <c r="AL47" i="12"/>
  <c r="AM47" i="12" s="1"/>
  <c r="AL48" i="12"/>
  <c r="AM48" i="12" s="1"/>
  <c r="AL49" i="12"/>
  <c r="AM49" i="12" s="1"/>
  <c r="AL56" i="12"/>
  <c r="AM56" i="12" s="1"/>
  <c r="AL57" i="12"/>
  <c r="AM57" i="12" s="1"/>
  <c r="AL135" i="12"/>
  <c r="AM135" i="12" s="1"/>
  <c r="AL137" i="12"/>
  <c r="AM137" i="12" s="1"/>
  <c r="AL139" i="12"/>
  <c r="AM139" i="12" s="1"/>
  <c r="AL142" i="12"/>
  <c r="AM142" i="12" s="1"/>
  <c r="AL143" i="12"/>
  <c r="AM143" i="12" s="1"/>
  <c r="AL144" i="12"/>
  <c r="AM144" i="12" s="1"/>
  <c r="AL145" i="12"/>
  <c r="AM145" i="12" s="1"/>
  <c r="AL150" i="12"/>
  <c r="AM150" i="12" s="1"/>
  <c r="AL152" i="12"/>
  <c r="AM152" i="12" s="1"/>
  <c r="AL154" i="12"/>
  <c r="AM154" i="12" s="1"/>
  <c r="AL157" i="12"/>
  <c r="AM157" i="12" s="1"/>
  <c r="AL159" i="12"/>
  <c r="AM159" i="12" s="1"/>
  <c r="AL160" i="12"/>
  <c r="AM160" i="12" s="1"/>
  <c r="AL205" i="12"/>
  <c r="AM205" i="12" s="1"/>
  <c r="AL209" i="12"/>
  <c r="AM209" i="12" s="1"/>
  <c r="AL212" i="12"/>
  <c r="AM212" i="12" s="1"/>
  <c r="AL214" i="12"/>
  <c r="AM214" i="12" s="1"/>
  <c r="AL215" i="12"/>
  <c r="AM215" i="12" s="1"/>
  <c r="AL224" i="12"/>
  <c r="AM224" i="12" s="1"/>
  <c r="AL225" i="12"/>
  <c r="AM225" i="12" s="1"/>
  <c r="AL242" i="12"/>
  <c r="AM242" i="12" s="1"/>
  <c r="AL244" i="12"/>
  <c r="AM244" i="12" s="1"/>
  <c r="AL246" i="12"/>
  <c r="AM246" i="12" s="1"/>
  <c r="AL258" i="12"/>
  <c r="AM258" i="12" s="1"/>
  <c r="AL259" i="12"/>
  <c r="AM259" i="12" s="1"/>
  <c r="AL271" i="12"/>
  <c r="AM271" i="12" s="1"/>
  <c r="AL279" i="12"/>
  <c r="AM279" i="12" s="1"/>
  <c r="AL280" i="12"/>
  <c r="AM280" i="12" s="1"/>
  <c r="AL285" i="12"/>
  <c r="AM285" i="12" s="1"/>
  <c r="AL288" i="12"/>
  <c r="AM288" i="12" s="1"/>
  <c r="AL291" i="12"/>
  <c r="AM291" i="12" s="1"/>
  <c r="AL292" i="12"/>
  <c r="AM292" i="12" s="1"/>
  <c r="AL320" i="12"/>
  <c r="AM320" i="12" s="1"/>
  <c r="AL324" i="12"/>
  <c r="AM324" i="12" s="1"/>
  <c r="AL332" i="12"/>
  <c r="AM332" i="12" s="1"/>
  <c r="AL333" i="12"/>
  <c r="AM333" i="12" s="1"/>
  <c r="AL334" i="12"/>
  <c r="AM334" i="12" s="1"/>
  <c r="AL335" i="12"/>
  <c r="AM335" i="12" s="1"/>
  <c r="AL336" i="12"/>
  <c r="AM336" i="12" s="1"/>
  <c r="AL337" i="12"/>
  <c r="AM337" i="12" s="1"/>
  <c r="AL340" i="12"/>
  <c r="AM340" i="12" s="1"/>
  <c r="AL341" i="12"/>
  <c r="AM341" i="12" s="1"/>
  <c r="AL342" i="12"/>
  <c r="AM342" i="12" s="1"/>
  <c r="AL343" i="12"/>
  <c r="AM343" i="12" s="1"/>
  <c r="AL351" i="12"/>
  <c r="AM351" i="12" s="1"/>
  <c r="AL352" i="12"/>
  <c r="AM352" i="12" s="1"/>
  <c r="AL353" i="12"/>
  <c r="AM353" i="12" s="1"/>
  <c r="AL354" i="12"/>
  <c r="AM354" i="12" s="1"/>
  <c r="AL355" i="12"/>
  <c r="AM355" i="12" s="1"/>
  <c r="AL362" i="12"/>
  <c r="AM362" i="12" s="1"/>
  <c r="AL363" i="12"/>
  <c r="AM363" i="12" s="1"/>
  <c r="AL364" i="12"/>
  <c r="AM364" i="12" s="1"/>
  <c r="AL73" i="12"/>
  <c r="AM73" i="12" s="1"/>
  <c r="AL93" i="12"/>
  <c r="AM93" i="12" s="1"/>
  <c r="AL95" i="12"/>
  <c r="AM95" i="12" s="1"/>
  <c r="AL97" i="12"/>
  <c r="AM97" i="12" s="1"/>
  <c r="AL147" i="12"/>
  <c r="AM147" i="12" s="1"/>
  <c r="AL164" i="12"/>
  <c r="AM164" i="12" s="1"/>
  <c r="AL165" i="12"/>
  <c r="AM165" i="12" s="1"/>
  <c r="AL166" i="12"/>
  <c r="AM166" i="12" s="1"/>
  <c r="AL167" i="12"/>
  <c r="AM167" i="12" s="1"/>
  <c r="AL168" i="12"/>
  <c r="AM168" i="12" s="1"/>
  <c r="AL169" i="12"/>
  <c r="AM169" i="12" s="1"/>
  <c r="AL176" i="12"/>
  <c r="AM176" i="12" s="1"/>
  <c r="AL177" i="12"/>
  <c r="AM177" i="12" s="1"/>
  <c r="AL178" i="12"/>
  <c r="AM178" i="12" s="1"/>
  <c r="AL179" i="12"/>
  <c r="AM179" i="12" s="1"/>
  <c r="AL180" i="12"/>
  <c r="AM180" i="12" s="1"/>
  <c r="AL181" i="12"/>
  <c r="AM181" i="12" s="1"/>
  <c r="AL188" i="12"/>
  <c r="AM188" i="12" s="1"/>
  <c r="AL189" i="12"/>
  <c r="AM189" i="12" s="1"/>
  <c r="AL190" i="12"/>
  <c r="AM190" i="12" s="1"/>
  <c r="AL191" i="12"/>
  <c r="AM191" i="12" s="1"/>
  <c r="AL192" i="12"/>
  <c r="AM192" i="12" s="1"/>
  <c r="AL193" i="12"/>
  <c r="AM193" i="12" s="1"/>
  <c r="AL200" i="12"/>
  <c r="AM200" i="12" s="1"/>
  <c r="AL201" i="12"/>
  <c r="AM201" i="12" s="1"/>
  <c r="AL202" i="12"/>
  <c r="AM202" i="12" s="1"/>
  <c r="AL203" i="12"/>
  <c r="AM203" i="12" s="1"/>
  <c r="AL218" i="12"/>
  <c r="AM218" i="12" s="1"/>
  <c r="AL226" i="12"/>
  <c r="AM226" i="12" s="1"/>
  <c r="AL227" i="12"/>
  <c r="AM227" i="12" s="1"/>
  <c r="AL231" i="12"/>
  <c r="AM231" i="12" s="1"/>
  <c r="AL233" i="12"/>
  <c r="AM233" i="12" s="1"/>
  <c r="AL236" i="12"/>
  <c r="AM236" i="12" s="1"/>
  <c r="AL238" i="12"/>
  <c r="AM238" i="12" s="1"/>
  <c r="AL240" i="12"/>
  <c r="AM240" i="12" s="1"/>
  <c r="AL248" i="12"/>
  <c r="AM248" i="12" s="1"/>
  <c r="AL250" i="12"/>
  <c r="AM250" i="12" s="1"/>
  <c r="AL252" i="12"/>
  <c r="AM252" i="12" s="1"/>
  <c r="AL255" i="12"/>
  <c r="AM255" i="12" s="1"/>
  <c r="AL257" i="12"/>
  <c r="AM257" i="12" s="1"/>
  <c r="AL266" i="12"/>
  <c r="AM266" i="12" s="1"/>
  <c r="AL274" i="12"/>
  <c r="AM274" i="12" s="1"/>
  <c r="AL278" i="12"/>
  <c r="AM278" i="12" s="1"/>
  <c r="AL283" i="12"/>
  <c r="AM283" i="12" s="1"/>
  <c r="AL289" i="12"/>
  <c r="AM289" i="12" s="1"/>
  <c r="AL295" i="12"/>
  <c r="AM295" i="12" s="1"/>
  <c r="AL303" i="12"/>
  <c r="AM303" i="12" s="1"/>
  <c r="AL304" i="12"/>
  <c r="AM304" i="12" s="1"/>
  <c r="AL310" i="12"/>
  <c r="AM310" i="12" s="1"/>
  <c r="AL321" i="12"/>
  <c r="AM321" i="12" s="1"/>
  <c r="AL325" i="12"/>
  <c r="AM325" i="12" s="1"/>
  <c r="AL38" i="12"/>
  <c r="AM38" i="12" s="1"/>
  <c r="AL54" i="12"/>
  <c r="AM54" i="12" s="1"/>
  <c r="AL55" i="12"/>
  <c r="AM55" i="12" s="1"/>
  <c r="AL63" i="12"/>
  <c r="AM63" i="12" s="1"/>
  <c r="AL116" i="12"/>
  <c r="AM116" i="12" s="1"/>
  <c r="AL118" i="12"/>
  <c r="AM118" i="12" s="1"/>
  <c r="AL120" i="12"/>
  <c r="AM120" i="12" s="1"/>
  <c r="AL129" i="12"/>
  <c r="AM129" i="12" s="1"/>
  <c r="AL131" i="12"/>
  <c r="AM131" i="12" s="1"/>
  <c r="AL133" i="12"/>
  <c r="AM133" i="12" s="1"/>
  <c r="AL141" i="12"/>
  <c r="AM141" i="12" s="1"/>
  <c r="AL146" i="12"/>
  <c r="AM146" i="12" s="1"/>
  <c r="AL148" i="12"/>
  <c r="AM148" i="12" s="1"/>
  <c r="AL149" i="12"/>
  <c r="AM149" i="12" s="1"/>
  <c r="AL153" i="12"/>
  <c r="AM153" i="12" s="1"/>
  <c r="AL221" i="12"/>
  <c r="AM221" i="12" s="1"/>
  <c r="AL223" i="12"/>
  <c r="AM223" i="12" s="1"/>
  <c r="AL228" i="12"/>
  <c r="AM228" i="12" s="1"/>
  <c r="AL229" i="12"/>
  <c r="AM229" i="12" s="1"/>
  <c r="AL237" i="12"/>
  <c r="AM237" i="12" s="1"/>
  <c r="AL239" i="12"/>
  <c r="AM239" i="12" s="1"/>
  <c r="AL241" i="12"/>
  <c r="AM241" i="12" s="1"/>
  <c r="AL249" i="12"/>
  <c r="AM249" i="12" s="1"/>
  <c r="AL251" i="12"/>
  <c r="AM251" i="12" s="1"/>
  <c r="AL253" i="12"/>
  <c r="AM253" i="12" s="1"/>
  <c r="AL260" i="12"/>
  <c r="AM260" i="12" s="1"/>
  <c r="AL261" i="12"/>
  <c r="AM261" i="12" s="1"/>
  <c r="AL264" i="12"/>
  <c r="AM264" i="12" s="1"/>
  <c r="AL267" i="12"/>
  <c r="AM267" i="12" s="1"/>
  <c r="AL270" i="12"/>
  <c r="AM270" i="12" s="1"/>
  <c r="AL275" i="12"/>
  <c r="AM275" i="12" s="1"/>
  <c r="AL281" i="12"/>
  <c r="AM281" i="12" s="1"/>
  <c r="AL282" i="12"/>
  <c r="AM282" i="12" s="1"/>
  <c r="AL298" i="12"/>
  <c r="AM298" i="12" s="1"/>
  <c r="AL302" i="12"/>
  <c r="AM302" i="12" s="1"/>
  <c r="AL305" i="12"/>
  <c r="AM305" i="12" s="1"/>
  <c r="AL311" i="12"/>
  <c r="AM311" i="12" s="1"/>
  <c r="AL322" i="12"/>
  <c r="AM322" i="12" s="1"/>
  <c r="AL326" i="12"/>
  <c r="AM326" i="12" s="1"/>
  <c r="AL327" i="12"/>
  <c r="AM327" i="12" s="1"/>
  <c r="AL328" i="12"/>
  <c r="AM328" i="12" s="1"/>
  <c r="AL329" i="12"/>
  <c r="AM329" i="12" s="1"/>
  <c r="AL330" i="12"/>
  <c r="AM330" i="12" s="1"/>
  <c r="AL331" i="12"/>
  <c r="AM331" i="12" s="1"/>
  <c r="AL338" i="12"/>
  <c r="AM338" i="12" s="1"/>
  <c r="AL339" i="12"/>
  <c r="AM339" i="12" s="1"/>
  <c r="AL344" i="12"/>
  <c r="AM344" i="12" s="1"/>
  <c r="AL345" i="12"/>
  <c r="AM345" i="12" s="1"/>
  <c r="AL346" i="12"/>
  <c r="AM346" i="12" s="1"/>
  <c r="AL347" i="12"/>
  <c r="AM347" i="12" s="1"/>
  <c r="AL348" i="12"/>
  <c r="AM348" i="12" s="1"/>
  <c r="AL349" i="12"/>
  <c r="AM349" i="12" s="1"/>
  <c r="AL350" i="12"/>
  <c r="AM350" i="12" s="1"/>
  <c r="AL356" i="12"/>
  <c r="AM356" i="12" s="1"/>
  <c r="AL357" i="12"/>
  <c r="AM357" i="12" s="1"/>
  <c r="AL358" i="12"/>
  <c r="AM358" i="12" s="1"/>
  <c r="AL359" i="12"/>
  <c r="AM359" i="12" s="1"/>
  <c r="AL360" i="12"/>
  <c r="AM360" i="12" s="1"/>
  <c r="AL361" i="12"/>
  <c r="AM361" i="12" s="1"/>
  <c r="AL60" i="12"/>
  <c r="AM60" i="12" s="1"/>
  <c r="AL80" i="12"/>
  <c r="AM80" i="12" s="1"/>
  <c r="AL81" i="12"/>
  <c r="AM81" i="12" s="1"/>
  <c r="AL82" i="12"/>
  <c r="AM82" i="12" s="1"/>
  <c r="AL83" i="12"/>
  <c r="AM83" i="12" s="1"/>
  <c r="AL84" i="12"/>
  <c r="AM84" i="12" s="1"/>
  <c r="AL85" i="12"/>
  <c r="AM85" i="12" s="1"/>
  <c r="AL104" i="12"/>
  <c r="AM104" i="12" s="1"/>
  <c r="AL105" i="12"/>
  <c r="AM105" i="12" s="1"/>
  <c r="AL106" i="12"/>
  <c r="AM106" i="12" s="1"/>
  <c r="AL107" i="12"/>
  <c r="AM107" i="12" s="1"/>
  <c r="AL108" i="12"/>
  <c r="AM108" i="12" s="1"/>
  <c r="AL109" i="12"/>
  <c r="AM109" i="12" s="1"/>
  <c r="AL114" i="12"/>
  <c r="AM114" i="12" s="1"/>
  <c r="AL127" i="12"/>
  <c r="AM127" i="12" s="1"/>
  <c r="AL61" i="12"/>
  <c r="AM61" i="12" s="1"/>
  <c r="AL74" i="12"/>
  <c r="AM74" i="12" s="1"/>
  <c r="AL75" i="12"/>
  <c r="AM75" i="12" s="1"/>
  <c r="AL76" i="12"/>
  <c r="AM76" i="12" s="1"/>
  <c r="AL77" i="12"/>
  <c r="AM77" i="12" s="1"/>
  <c r="AL78" i="12"/>
  <c r="AM78" i="12" s="1"/>
  <c r="AL79" i="12"/>
  <c r="AM79" i="12" s="1"/>
  <c r="AL98" i="12"/>
  <c r="AM98" i="12" s="1"/>
  <c r="AL99" i="12"/>
  <c r="AM99" i="12" s="1"/>
  <c r="AL100" i="12"/>
  <c r="AM100" i="12" s="1"/>
  <c r="AL101" i="12"/>
  <c r="AM101" i="12" s="1"/>
  <c r="AL102" i="12"/>
  <c r="AM102" i="12" s="1"/>
  <c r="AL103" i="12"/>
  <c r="AM103" i="12" s="1"/>
  <c r="AL121" i="12"/>
  <c r="AM121" i="12" s="1"/>
  <c r="AL58" i="12"/>
  <c r="AM58" i="12" s="1"/>
  <c r="AL115" i="12"/>
  <c r="AM115" i="12" s="1"/>
  <c r="AL122" i="12"/>
  <c r="AM122" i="12" s="1"/>
  <c r="AL126" i="12"/>
  <c r="AM126" i="12" s="1"/>
  <c r="AL136" i="12"/>
  <c r="AM136" i="12" s="1"/>
  <c r="AL113" i="12"/>
  <c r="AM113" i="12" s="1"/>
  <c r="AL124" i="12"/>
  <c r="AM124" i="12" s="1"/>
  <c r="AL134" i="12"/>
  <c r="AM134" i="12" s="1"/>
  <c r="AL138" i="12"/>
  <c r="AM138" i="12" s="1"/>
  <c r="AL156" i="12"/>
  <c r="AM156" i="12" s="1"/>
  <c r="AL155" i="12"/>
  <c r="AM155" i="12" s="1"/>
  <c r="AL208" i="12"/>
  <c r="AM208" i="12" s="1"/>
  <c r="AL206" i="12"/>
  <c r="AM206" i="12" s="1"/>
  <c r="AL210" i="12"/>
  <c r="AM210" i="12" s="1"/>
  <c r="AL220" i="12"/>
  <c r="AM220" i="12" s="1"/>
  <c r="AL222" i="12"/>
  <c r="AM222" i="12" s="1"/>
  <c r="AL207" i="12"/>
  <c r="AM207" i="12" s="1"/>
  <c r="AL211" i="12"/>
  <c r="AM211" i="12" s="1"/>
  <c r="AL235" i="12"/>
  <c r="AM235" i="12" s="1"/>
  <c r="AL265" i="12"/>
  <c r="AM265" i="12" s="1"/>
  <c r="AL263" i="12"/>
  <c r="AM263" i="12" s="1"/>
  <c r="AL273" i="12"/>
  <c r="AM273" i="12" s="1"/>
  <c r="AL277" i="12"/>
  <c r="AM277" i="12" s="1"/>
  <c r="AL287" i="12"/>
  <c r="AM287" i="12" s="1"/>
  <c r="AL297" i="12"/>
  <c r="AM297" i="12" s="1"/>
  <c r="AL301" i="12"/>
  <c r="AM301" i="12" s="1"/>
  <c r="AL262" i="12"/>
  <c r="AM262" i="12" s="1"/>
  <c r="AL272" i="12"/>
  <c r="AM272" i="12" s="1"/>
  <c r="AL276" i="12"/>
  <c r="AM276" i="12" s="1"/>
  <c r="AL286" i="12"/>
  <c r="AM286" i="12" s="1"/>
  <c r="AL296" i="12"/>
  <c r="AM296" i="12" s="1"/>
  <c r="AL300" i="12"/>
  <c r="AM300" i="12" s="1"/>
  <c r="AL307" i="12"/>
  <c r="AM307" i="12" s="1"/>
  <c r="AL314" i="12"/>
  <c r="AM314" i="12" s="1"/>
  <c r="AL318" i="12"/>
  <c r="AM318" i="12" s="1"/>
  <c r="AL319" i="12"/>
  <c r="AM319" i="12" s="1"/>
  <c r="AL315" i="12"/>
  <c r="AM315" i="12" s="1"/>
  <c r="AL365" i="12"/>
  <c r="AM365" i="12" s="1"/>
  <c r="AL366" i="12"/>
  <c r="AM366" i="12" s="1"/>
  <c r="AM7" i="12" l="1"/>
  <c r="AI321" i="10" l="1"/>
  <c r="AE321" i="10"/>
  <c r="AC321" i="10"/>
  <c r="AA321" i="10"/>
  <c r="W321" i="10"/>
  <c r="U321" i="10"/>
  <c r="S321" i="10"/>
  <c r="AI320" i="10"/>
  <c r="AE320" i="10"/>
  <c r="AI319" i="10"/>
  <c r="AE319" i="10"/>
  <c r="K319" i="10"/>
  <c r="C319" i="10"/>
  <c r="AI318" i="10"/>
  <c r="AE318" i="10"/>
  <c r="AC318" i="10"/>
  <c r="AA318" i="10"/>
  <c r="W318" i="10"/>
  <c r="U318" i="10"/>
  <c r="S318" i="10"/>
  <c r="AI317" i="10"/>
  <c r="AE317" i="10"/>
  <c r="AC317" i="10"/>
  <c r="AA317" i="10"/>
  <c r="W317" i="10"/>
  <c r="U317" i="10"/>
  <c r="S317" i="10"/>
  <c r="AI316" i="10"/>
  <c r="AE316" i="10"/>
  <c r="AC316" i="10"/>
  <c r="AA316" i="10"/>
  <c r="W316" i="10"/>
  <c r="U316" i="10"/>
  <c r="S316" i="10"/>
  <c r="AI315" i="10"/>
  <c r="AE315" i="10"/>
  <c r="AC315" i="10"/>
  <c r="AA315" i="10"/>
  <c r="W315" i="10"/>
  <c r="U315" i="10"/>
  <c r="S315" i="10"/>
  <c r="AI314" i="10"/>
  <c r="AE314" i="10"/>
  <c r="AC314" i="10"/>
  <c r="AA314" i="10"/>
  <c r="W314" i="10"/>
  <c r="U314" i="10"/>
  <c r="S314" i="10"/>
  <c r="AI313" i="10"/>
  <c r="AE313" i="10"/>
  <c r="AC313" i="10"/>
  <c r="AA313" i="10"/>
  <c r="W313" i="10"/>
  <c r="U313" i="10"/>
  <c r="S313" i="10"/>
  <c r="K313" i="10"/>
  <c r="C313" i="10"/>
  <c r="AI312" i="10"/>
  <c r="AE312" i="10"/>
  <c r="AC312" i="10"/>
  <c r="AA312" i="10"/>
  <c r="W312" i="10"/>
  <c r="U312" i="10"/>
  <c r="S312" i="10"/>
  <c r="AI311" i="10"/>
  <c r="AE311" i="10"/>
  <c r="AC311" i="10"/>
  <c r="AA311" i="10"/>
  <c r="W311" i="10"/>
  <c r="U311" i="10"/>
  <c r="S311" i="10"/>
  <c r="AI310" i="10"/>
  <c r="AE310" i="10"/>
  <c r="AC310" i="10"/>
  <c r="AA310" i="10"/>
  <c r="W310" i="10"/>
  <c r="U310" i="10"/>
  <c r="S310" i="10"/>
  <c r="AI309" i="10"/>
  <c r="AE309" i="10"/>
  <c r="AC309" i="10"/>
  <c r="AA309" i="10"/>
  <c r="W309" i="10"/>
  <c r="U309" i="10"/>
  <c r="S309" i="10"/>
  <c r="AI308" i="10"/>
  <c r="AE308" i="10"/>
  <c r="AC308" i="10"/>
  <c r="AA308" i="10"/>
  <c r="W308" i="10"/>
  <c r="U308" i="10"/>
  <c r="S308" i="10"/>
  <c r="AI307" i="10"/>
  <c r="AE307" i="10"/>
  <c r="AC307" i="10"/>
  <c r="AA307" i="10"/>
  <c r="W307" i="10"/>
  <c r="U307" i="10"/>
  <c r="S307" i="10"/>
  <c r="K307" i="10"/>
  <c r="C307" i="10"/>
  <c r="AI306" i="10"/>
  <c r="AE306" i="10"/>
  <c r="AC306" i="10"/>
  <c r="AA306" i="10"/>
  <c r="W306" i="10"/>
  <c r="U306" i="10"/>
  <c r="S306" i="10"/>
  <c r="AI305" i="10"/>
  <c r="AE305" i="10"/>
  <c r="AC305" i="10"/>
  <c r="AA305" i="10"/>
  <c r="W305" i="10"/>
  <c r="U305" i="10"/>
  <c r="S305" i="10"/>
  <c r="AI304" i="10"/>
  <c r="AE304" i="10"/>
  <c r="AC304" i="10"/>
  <c r="AA304" i="10"/>
  <c r="W304" i="10"/>
  <c r="U304" i="10"/>
  <c r="S304" i="10"/>
  <c r="AI303" i="10"/>
  <c r="AE303" i="10"/>
  <c r="AC303" i="10"/>
  <c r="AA303" i="10"/>
  <c r="W303" i="10"/>
  <c r="U303" i="10"/>
  <c r="S303" i="10"/>
  <c r="AI302" i="10"/>
  <c r="AE302" i="10"/>
  <c r="AC302" i="10"/>
  <c r="AA302" i="10"/>
  <c r="W302" i="10"/>
  <c r="U302" i="10"/>
  <c r="S302" i="10"/>
  <c r="AI301" i="10"/>
  <c r="AE301" i="10"/>
  <c r="AC301" i="10"/>
  <c r="AA301" i="10"/>
  <c r="W301" i="10"/>
  <c r="U301" i="10"/>
  <c r="S301" i="10"/>
  <c r="K301" i="10"/>
  <c r="C301" i="10"/>
  <c r="AI300" i="10"/>
  <c r="AE300" i="10"/>
  <c r="AC300" i="10"/>
  <c r="AA300" i="10"/>
  <c r="W300" i="10"/>
  <c r="U300" i="10"/>
  <c r="S300" i="10"/>
  <c r="AI299" i="10"/>
  <c r="AE299" i="10"/>
  <c r="AC299" i="10"/>
  <c r="AA299" i="10"/>
  <c r="W299" i="10"/>
  <c r="U299" i="10"/>
  <c r="S299" i="10"/>
  <c r="AI298" i="10"/>
  <c r="AE298" i="10"/>
  <c r="AC298" i="10"/>
  <c r="AA298" i="10"/>
  <c r="W298" i="10"/>
  <c r="U298" i="10"/>
  <c r="S298" i="10"/>
  <c r="AI297" i="10"/>
  <c r="AE297" i="10"/>
  <c r="AC297" i="10"/>
  <c r="AA297" i="10"/>
  <c r="W297" i="10"/>
  <c r="U297" i="10"/>
  <c r="S297" i="10"/>
  <c r="AI296" i="10"/>
  <c r="AE296" i="10"/>
  <c r="AI295" i="10"/>
  <c r="AE295" i="10"/>
  <c r="K295" i="10"/>
  <c r="C295" i="10"/>
  <c r="AI294" i="10"/>
  <c r="AE294" i="10"/>
  <c r="AC294" i="10"/>
  <c r="AA294" i="10"/>
  <c r="W294" i="10"/>
  <c r="U294" i="10"/>
  <c r="S294" i="10"/>
  <c r="AI293" i="10"/>
  <c r="AE293" i="10"/>
  <c r="AC293" i="10"/>
  <c r="AA293" i="10"/>
  <c r="W293" i="10"/>
  <c r="U293" i="10"/>
  <c r="S293" i="10"/>
  <c r="AI292" i="10"/>
  <c r="AE292" i="10"/>
  <c r="AC292" i="10"/>
  <c r="AA292" i="10"/>
  <c r="W292" i="10"/>
  <c r="U292" i="10"/>
  <c r="S292" i="10"/>
  <c r="AI291" i="10"/>
  <c r="AE291" i="10"/>
  <c r="AC291" i="10"/>
  <c r="AA291" i="10"/>
  <c r="W291" i="10"/>
  <c r="U291" i="10"/>
  <c r="S291" i="10"/>
  <c r="AI290" i="10"/>
  <c r="AE290" i="10"/>
  <c r="AI289" i="10"/>
  <c r="AE289" i="10"/>
  <c r="K289" i="10"/>
  <c r="C289" i="10"/>
  <c r="AI288" i="10"/>
  <c r="AE288" i="10"/>
  <c r="AC288" i="10"/>
  <c r="AA288" i="10"/>
  <c r="W288" i="10"/>
  <c r="U288" i="10"/>
  <c r="S288" i="10"/>
  <c r="AI287" i="10"/>
  <c r="AE287" i="10"/>
  <c r="AI286" i="10"/>
  <c r="AE286" i="10"/>
  <c r="AI285" i="10"/>
  <c r="AE285" i="10"/>
  <c r="AI284" i="10"/>
  <c r="AE284" i="10"/>
  <c r="AI283" i="10"/>
  <c r="AE283" i="10"/>
  <c r="K283" i="10"/>
  <c r="C283" i="10"/>
  <c r="AI282" i="10"/>
  <c r="AE282" i="10"/>
  <c r="AC282" i="10"/>
  <c r="AA282" i="10"/>
  <c r="W282" i="10"/>
  <c r="U282" i="10"/>
  <c r="S282" i="10"/>
  <c r="AI281" i="10"/>
  <c r="AE281" i="10"/>
  <c r="AC281" i="10"/>
  <c r="AA281" i="10"/>
  <c r="W281" i="10"/>
  <c r="U281" i="10"/>
  <c r="S281" i="10"/>
  <c r="AI280" i="10"/>
  <c r="AE280" i="10"/>
  <c r="AC280" i="10"/>
  <c r="AA280" i="10"/>
  <c r="W280" i="10"/>
  <c r="U280" i="10"/>
  <c r="S280" i="10"/>
  <c r="AI279" i="10"/>
  <c r="AE279" i="10"/>
  <c r="AI278" i="10"/>
  <c r="AE278" i="10"/>
  <c r="AI277" i="10"/>
  <c r="AE277" i="10"/>
  <c r="K277" i="10"/>
  <c r="C277" i="10"/>
  <c r="AI276" i="10"/>
  <c r="AE276" i="10"/>
  <c r="AC276" i="10"/>
  <c r="AA276" i="10"/>
  <c r="W276" i="10"/>
  <c r="U276" i="10"/>
  <c r="S276" i="10"/>
  <c r="AI275" i="10"/>
  <c r="AE275" i="10"/>
  <c r="AC275" i="10"/>
  <c r="AA275" i="10"/>
  <c r="W275" i="10"/>
  <c r="U275" i="10"/>
  <c r="S275" i="10"/>
  <c r="AI274" i="10"/>
  <c r="AE274" i="10"/>
  <c r="AC274" i="10"/>
  <c r="AA274" i="10"/>
  <c r="W274" i="10"/>
  <c r="U274" i="10"/>
  <c r="S274" i="10"/>
  <c r="AI273" i="10"/>
  <c r="AE273" i="10"/>
  <c r="AC273" i="10"/>
  <c r="AA273" i="10"/>
  <c r="W273" i="10"/>
  <c r="U273" i="10"/>
  <c r="S273" i="10"/>
  <c r="AI272" i="10"/>
  <c r="AE272" i="10"/>
  <c r="AI271" i="10"/>
  <c r="AE271" i="10"/>
  <c r="K271" i="10"/>
  <c r="C271" i="10"/>
  <c r="AI270" i="10"/>
  <c r="AE270" i="10"/>
  <c r="AC270" i="10"/>
  <c r="AA270" i="10"/>
  <c r="W270" i="10"/>
  <c r="U270" i="10"/>
  <c r="S270" i="10"/>
  <c r="AI269" i="10"/>
  <c r="AE269" i="10"/>
  <c r="AC269" i="10"/>
  <c r="AA269" i="10"/>
  <c r="W269" i="10"/>
  <c r="U269" i="10"/>
  <c r="S269" i="10"/>
  <c r="AI268" i="10"/>
  <c r="AE268" i="10"/>
  <c r="AC268" i="10"/>
  <c r="AA268" i="10"/>
  <c r="W268" i="10"/>
  <c r="U268" i="10"/>
  <c r="S268" i="10"/>
  <c r="AI267" i="10"/>
  <c r="AE267" i="10"/>
  <c r="AC267" i="10"/>
  <c r="AA267" i="10"/>
  <c r="W267" i="10"/>
  <c r="U267" i="10"/>
  <c r="S267" i="10"/>
  <c r="AI266" i="10"/>
  <c r="AE266" i="10"/>
  <c r="AC266" i="10"/>
  <c r="AA266" i="10"/>
  <c r="W266" i="10"/>
  <c r="U266" i="10"/>
  <c r="S266" i="10"/>
  <c r="AI265" i="10"/>
  <c r="AE265" i="10"/>
  <c r="K265" i="10"/>
  <c r="AI264" i="10"/>
  <c r="AE264" i="10"/>
  <c r="AC264" i="10"/>
  <c r="AA264" i="10"/>
  <c r="W264" i="10"/>
  <c r="U264" i="10"/>
  <c r="S264" i="10"/>
  <c r="AI263" i="10"/>
  <c r="AE263" i="10"/>
  <c r="AC263" i="10"/>
  <c r="AA263" i="10"/>
  <c r="W263" i="10"/>
  <c r="U263" i="10"/>
  <c r="S263" i="10"/>
  <c r="AI262" i="10"/>
  <c r="AE262" i="10"/>
  <c r="AC262" i="10"/>
  <c r="AA262" i="10"/>
  <c r="W262" i="10"/>
  <c r="U262" i="10"/>
  <c r="S262" i="10"/>
  <c r="AI261" i="10"/>
  <c r="AE261" i="10"/>
  <c r="AI260" i="10"/>
  <c r="AE260" i="10"/>
  <c r="AI259" i="10"/>
  <c r="AE259" i="10"/>
  <c r="K259" i="10"/>
  <c r="AI258" i="10"/>
  <c r="AE258" i="10"/>
  <c r="AC258" i="10"/>
  <c r="AA258" i="10"/>
  <c r="W258" i="10"/>
  <c r="U258" i="10"/>
  <c r="S258" i="10"/>
  <c r="AI257" i="10"/>
  <c r="AE257" i="10"/>
  <c r="AC257" i="10"/>
  <c r="AA257" i="10"/>
  <c r="W257" i="10"/>
  <c r="U257" i="10"/>
  <c r="S257" i="10"/>
  <c r="AI256" i="10"/>
  <c r="AE256" i="10"/>
  <c r="AC256" i="10"/>
  <c r="AA256" i="10"/>
  <c r="W256" i="10"/>
  <c r="U256" i="10"/>
  <c r="S256" i="10"/>
  <c r="AI255" i="10"/>
  <c r="AE255" i="10"/>
  <c r="AC255" i="10"/>
  <c r="AA255" i="10"/>
  <c r="W255" i="10"/>
  <c r="U255" i="10"/>
  <c r="S255" i="10"/>
  <c r="AI254" i="10"/>
  <c r="AE254" i="10"/>
  <c r="AI253" i="10"/>
  <c r="AE253" i="10"/>
  <c r="C253" i="10"/>
  <c r="AI252" i="10"/>
  <c r="AE252" i="10"/>
  <c r="AC252" i="10"/>
  <c r="AA252" i="10"/>
  <c r="W252" i="10"/>
  <c r="U252" i="10"/>
  <c r="S252" i="10"/>
  <c r="AI251" i="10"/>
  <c r="AE251" i="10"/>
  <c r="AC251" i="10"/>
  <c r="AA251" i="10"/>
  <c r="W251" i="10"/>
  <c r="U251" i="10"/>
  <c r="S251" i="10"/>
  <c r="AI250" i="10"/>
  <c r="AE250" i="10"/>
  <c r="AC250" i="10"/>
  <c r="AA250" i="10"/>
  <c r="W250" i="10"/>
  <c r="U250" i="10"/>
  <c r="S250" i="10"/>
  <c r="AI249" i="10"/>
  <c r="AE249" i="10"/>
  <c r="AC249" i="10"/>
  <c r="AA249" i="10"/>
  <c r="W249" i="10"/>
  <c r="U249" i="10"/>
  <c r="S249" i="10"/>
  <c r="AI248" i="10"/>
  <c r="AE248" i="10"/>
  <c r="AI247" i="10"/>
  <c r="AE247" i="10"/>
  <c r="C247" i="10"/>
  <c r="AI246" i="10"/>
  <c r="AE246" i="10"/>
  <c r="AC246" i="10"/>
  <c r="AA246" i="10"/>
  <c r="W246" i="10"/>
  <c r="U246" i="10"/>
  <c r="S246" i="10"/>
  <c r="AI245" i="10"/>
  <c r="AE245" i="10"/>
  <c r="AC245" i="10"/>
  <c r="AA245" i="10"/>
  <c r="W245" i="10"/>
  <c r="U245" i="10"/>
  <c r="S245" i="10"/>
  <c r="AI244" i="10"/>
  <c r="AE244" i="10"/>
  <c r="AC244" i="10"/>
  <c r="AA244" i="10"/>
  <c r="W244" i="10"/>
  <c r="U244" i="10"/>
  <c r="S244" i="10"/>
  <c r="AI243" i="10"/>
  <c r="AE243" i="10"/>
  <c r="AI242" i="10"/>
  <c r="AE242" i="10"/>
  <c r="AI241" i="10"/>
  <c r="AE241" i="10"/>
  <c r="C241" i="10"/>
  <c r="AI240" i="10"/>
  <c r="AE240" i="10"/>
  <c r="AC240" i="10"/>
  <c r="AA240" i="10"/>
  <c r="W240" i="10"/>
  <c r="U240" i="10"/>
  <c r="S240" i="10"/>
  <c r="AI239" i="10"/>
  <c r="AE239" i="10"/>
  <c r="AC239" i="10"/>
  <c r="AA239" i="10"/>
  <c r="W239" i="10"/>
  <c r="U239" i="10"/>
  <c r="S239" i="10"/>
  <c r="AI238" i="10"/>
  <c r="AE238" i="10"/>
  <c r="AI237" i="10"/>
  <c r="AE237" i="10"/>
  <c r="AI236" i="10"/>
  <c r="AE236" i="10"/>
  <c r="AI235" i="10"/>
  <c r="AE235" i="10"/>
  <c r="AI234" i="10"/>
  <c r="AE234" i="10"/>
  <c r="AC234" i="10"/>
  <c r="AA234" i="10"/>
  <c r="W234" i="10"/>
  <c r="U234" i="10"/>
  <c r="S234" i="10"/>
  <c r="AI233" i="10"/>
  <c r="AE233" i="10"/>
  <c r="AC233" i="10"/>
  <c r="AA233" i="10"/>
  <c r="W233" i="10"/>
  <c r="U233" i="10"/>
  <c r="S233" i="10"/>
  <c r="AI232" i="10"/>
  <c r="AE232" i="10"/>
  <c r="AI231" i="10"/>
  <c r="AE231" i="10"/>
  <c r="AI230" i="10"/>
  <c r="AE230" i="10"/>
  <c r="AI229" i="10"/>
  <c r="AE229" i="10"/>
  <c r="AI228" i="10"/>
  <c r="AE228" i="10"/>
  <c r="AC228" i="10"/>
  <c r="AA228" i="10"/>
  <c r="W228" i="10"/>
  <c r="U228" i="10"/>
  <c r="S228" i="10"/>
  <c r="AI227" i="10"/>
  <c r="AE227" i="10"/>
  <c r="AC227" i="10"/>
  <c r="AA227" i="10"/>
  <c r="W227" i="10"/>
  <c r="U227" i="10"/>
  <c r="S227" i="10"/>
  <c r="AI226" i="10"/>
  <c r="AE226" i="10"/>
  <c r="AC226" i="10"/>
  <c r="AA226" i="10"/>
  <c r="W226" i="10"/>
  <c r="U226" i="10"/>
  <c r="S226" i="10"/>
  <c r="AI225" i="10"/>
  <c r="AE225" i="10"/>
  <c r="AC225" i="10"/>
  <c r="AA225" i="10"/>
  <c r="W225" i="10"/>
  <c r="U225" i="10"/>
  <c r="S225" i="10"/>
  <c r="AI224" i="10"/>
  <c r="AE224" i="10"/>
  <c r="AI223" i="10"/>
  <c r="AE223" i="10"/>
  <c r="AI222" i="10"/>
  <c r="AE222" i="10"/>
  <c r="AC222" i="10"/>
  <c r="AA222" i="10"/>
  <c r="W222" i="10"/>
  <c r="U222" i="10"/>
  <c r="S222" i="10"/>
  <c r="AI221" i="10"/>
  <c r="AE221" i="10"/>
  <c r="AC221" i="10"/>
  <c r="AA221" i="10"/>
  <c r="W221" i="10"/>
  <c r="U221" i="10"/>
  <c r="S221" i="10"/>
  <c r="AI220" i="10"/>
  <c r="AE220" i="10"/>
  <c r="AC220" i="10"/>
  <c r="AA220" i="10"/>
  <c r="W220" i="10"/>
  <c r="U220" i="10"/>
  <c r="S220" i="10"/>
  <c r="AI219" i="10"/>
  <c r="AE219" i="10"/>
  <c r="AC219" i="10"/>
  <c r="AA219" i="10"/>
  <c r="W219" i="10"/>
  <c r="U219" i="10"/>
  <c r="S219" i="10"/>
  <c r="AI218" i="10"/>
  <c r="AE218" i="10"/>
  <c r="AI217" i="10"/>
  <c r="AE217" i="10"/>
  <c r="K217" i="10"/>
  <c r="AI216" i="10"/>
  <c r="AE216" i="10"/>
  <c r="AC216" i="10"/>
  <c r="AA216" i="10"/>
  <c r="W216" i="10"/>
  <c r="U216" i="10"/>
  <c r="S216" i="10"/>
  <c r="AI215" i="10"/>
  <c r="AE215" i="10"/>
  <c r="AC215" i="10"/>
  <c r="AA215" i="10"/>
  <c r="W215" i="10"/>
  <c r="U215" i="10"/>
  <c r="S215" i="10"/>
  <c r="AI214" i="10"/>
  <c r="AE214" i="10"/>
  <c r="AC214" i="10"/>
  <c r="AA214" i="10"/>
  <c r="W214" i="10"/>
  <c r="U214" i="10"/>
  <c r="S214" i="10"/>
  <c r="AI213" i="10"/>
  <c r="AE213" i="10"/>
  <c r="AI212" i="10"/>
  <c r="AE212" i="10"/>
  <c r="AI211" i="10"/>
  <c r="AE211" i="10"/>
  <c r="AI210" i="10"/>
  <c r="AE210" i="10"/>
  <c r="AC210" i="10"/>
  <c r="AA210" i="10"/>
  <c r="W210" i="10"/>
  <c r="U210" i="10"/>
  <c r="S210" i="10"/>
  <c r="AI209" i="10"/>
  <c r="AE209" i="10"/>
  <c r="AC209" i="10"/>
  <c r="AA209" i="10"/>
  <c r="W209" i="10"/>
  <c r="U209" i="10"/>
  <c r="S209" i="10"/>
  <c r="AI208" i="10"/>
  <c r="AE208" i="10"/>
  <c r="AI207" i="10"/>
  <c r="AE207" i="10"/>
  <c r="AI206" i="10"/>
  <c r="AE206" i="10"/>
  <c r="AI205" i="10"/>
  <c r="AE205" i="10"/>
  <c r="K205" i="10"/>
  <c r="AI204" i="10"/>
  <c r="AE204" i="10"/>
  <c r="AC204" i="10"/>
  <c r="AA204" i="10"/>
  <c r="W204" i="10"/>
  <c r="U204" i="10"/>
  <c r="S204" i="10"/>
  <c r="AI203" i="10"/>
  <c r="AE203" i="10"/>
  <c r="AC203" i="10"/>
  <c r="AA203" i="10"/>
  <c r="W203" i="10"/>
  <c r="U203" i="10"/>
  <c r="S203" i="10"/>
  <c r="AI202" i="10"/>
  <c r="AE202" i="10"/>
  <c r="AC202" i="10"/>
  <c r="AA202" i="10"/>
  <c r="W202" i="10"/>
  <c r="U202" i="10"/>
  <c r="S202" i="10"/>
  <c r="AI201" i="10"/>
  <c r="AE201" i="10"/>
  <c r="AC201" i="10"/>
  <c r="AA201" i="10"/>
  <c r="W201" i="10"/>
  <c r="U201" i="10"/>
  <c r="S201" i="10"/>
  <c r="AI200" i="10"/>
  <c r="AE200" i="10"/>
  <c r="AC200" i="10"/>
  <c r="AA200" i="10"/>
  <c r="W200" i="10"/>
  <c r="U200" i="10"/>
  <c r="S200" i="10"/>
  <c r="AI199" i="10"/>
  <c r="AE199" i="10"/>
  <c r="K199" i="10"/>
  <c r="AI198" i="10"/>
  <c r="AE198" i="10"/>
  <c r="AI197" i="10"/>
  <c r="AE197" i="10"/>
  <c r="AI196" i="10"/>
  <c r="AE196" i="10"/>
  <c r="AI195" i="10"/>
  <c r="AE195" i="10"/>
  <c r="AI194" i="10"/>
  <c r="AE194" i="10"/>
  <c r="AI193" i="10"/>
  <c r="AE193" i="10"/>
  <c r="K193" i="10"/>
  <c r="AI192" i="10"/>
  <c r="AE192" i="10"/>
  <c r="AC192" i="10"/>
  <c r="AA192" i="10"/>
  <c r="W192" i="10"/>
  <c r="U192" i="10"/>
  <c r="S192" i="10"/>
  <c r="AI191" i="10"/>
  <c r="AE191" i="10"/>
  <c r="AC191" i="10"/>
  <c r="AA191" i="10"/>
  <c r="W191" i="10"/>
  <c r="U191" i="10"/>
  <c r="S191" i="10"/>
  <c r="AI190" i="10"/>
  <c r="AE190" i="10"/>
  <c r="AI189" i="10"/>
  <c r="AE189" i="10"/>
  <c r="AI188" i="10"/>
  <c r="AE188" i="10"/>
  <c r="AI187" i="10"/>
  <c r="AE187" i="10"/>
  <c r="K187" i="10"/>
  <c r="AI186" i="10"/>
  <c r="AE186" i="10"/>
  <c r="AC186" i="10"/>
  <c r="AA186" i="10"/>
  <c r="W186" i="10"/>
  <c r="U186" i="10"/>
  <c r="S186" i="10"/>
  <c r="AI185" i="10"/>
  <c r="AE185" i="10"/>
  <c r="AC185" i="10"/>
  <c r="AA185" i="10"/>
  <c r="W185" i="10"/>
  <c r="U185" i="10"/>
  <c r="S185" i="10"/>
  <c r="AI184" i="10"/>
  <c r="AE184" i="10"/>
  <c r="AC184" i="10"/>
  <c r="AA184" i="10"/>
  <c r="W184" i="10"/>
  <c r="U184" i="10"/>
  <c r="S184" i="10"/>
  <c r="AI183" i="10"/>
  <c r="AE183" i="10"/>
  <c r="AC183" i="10"/>
  <c r="AA183" i="10"/>
  <c r="W183" i="10"/>
  <c r="U183" i="10"/>
  <c r="S183" i="10"/>
  <c r="AI182" i="10"/>
  <c r="AE182" i="10"/>
  <c r="AC182" i="10"/>
  <c r="AA182" i="10"/>
  <c r="W182" i="10"/>
  <c r="U182" i="10"/>
  <c r="S182" i="10"/>
  <c r="AI181" i="10"/>
  <c r="AE181" i="10"/>
  <c r="K181" i="10"/>
  <c r="AI180" i="10"/>
  <c r="AE180" i="10"/>
  <c r="AC180" i="10"/>
  <c r="AA180" i="10"/>
  <c r="W180" i="10"/>
  <c r="U180" i="10"/>
  <c r="S180" i="10"/>
  <c r="AI179" i="10"/>
  <c r="AE179" i="10"/>
  <c r="AC179" i="10"/>
  <c r="AA179" i="10"/>
  <c r="W179" i="10"/>
  <c r="U179" i="10"/>
  <c r="S179" i="10"/>
  <c r="AI178" i="10"/>
  <c r="AE178" i="10"/>
  <c r="AC178" i="10"/>
  <c r="AA178" i="10"/>
  <c r="W178" i="10"/>
  <c r="U178" i="10"/>
  <c r="S178" i="10"/>
  <c r="AI177" i="10"/>
  <c r="AE177" i="10"/>
  <c r="AI176" i="10"/>
  <c r="AE176" i="10"/>
  <c r="AI175" i="10"/>
  <c r="AE175" i="10"/>
  <c r="K175" i="10"/>
  <c r="AI174" i="10"/>
  <c r="AE174" i="10"/>
  <c r="AC174" i="10"/>
  <c r="AA174" i="10"/>
  <c r="W174" i="10"/>
  <c r="U174" i="10"/>
  <c r="S174" i="10"/>
  <c r="AI173" i="10"/>
  <c r="AE173" i="10"/>
  <c r="AC173" i="10"/>
  <c r="AA173" i="10"/>
  <c r="W173" i="10"/>
  <c r="U173" i="10"/>
  <c r="S173" i="10"/>
  <c r="AI172" i="10"/>
  <c r="AE172" i="10"/>
  <c r="AC172" i="10"/>
  <c r="AA172" i="10"/>
  <c r="W172" i="10"/>
  <c r="U172" i="10"/>
  <c r="S172" i="10"/>
  <c r="AI171" i="10"/>
  <c r="AE171" i="10"/>
  <c r="AC171" i="10"/>
  <c r="AA171" i="10"/>
  <c r="W171" i="10"/>
  <c r="U171" i="10"/>
  <c r="S171" i="10"/>
  <c r="AI170" i="10"/>
  <c r="AE170" i="10"/>
  <c r="AI169" i="10"/>
  <c r="AE169" i="10"/>
  <c r="K169" i="10"/>
  <c r="AI168" i="10"/>
  <c r="AE168" i="10"/>
  <c r="AC168" i="10"/>
  <c r="AA168" i="10"/>
  <c r="W168" i="10"/>
  <c r="U168" i="10"/>
  <c r="S168" i="10"/>
  <c r="AI167" i="10"/>
  <c r="AE167" i="10"/>
  <c r="AC167" i="10"/>
  <c r="AA167" i="10"/>
  <c r="W167" i="10"/>
  <c r="U167" i="10"/>
  <c r="S167" i="10"/>
  <c r="AI166" i="10"/>
  <c r="AE166" i="10"/>
  <c r="AC166" i="10"/>
  <c r="AA166" i="10"/>
  <c r="W166" i="10"/>
  <c r="U166" i="10"/>
  <c r="S166" i="10"/>
  <c r="AI165" i="10"/>
  <c r="AE165" i="10"/>
  <c r="AC165" i="10"/>
  <c r="AA165" i="10"/>
  <c r="W165" i="10"/>
  <c r="U165" i="10"/>
  <c r="S165" i="10"/>
  <c r="AI164" i="10"/>
  <c r="AE164" i="10"/>
  <c r="AI163" i="10"/>
  <c r="AE163" i="10"/>
  <c r="K163" i="10"/>
  <c r="AI162" i="10"/>
  <c r="AE162" i="10"/>
  <c r="AC162" i="10"/>
  <c r="AA162" i="10"/>
  <c r="W162" i="10"/>
  <c r="U162" i="10"/>
  <c r="S162" i="10"/>
  <c r="AI161" i="10"/>
  <c r="AE161" i="10"/>
  <c r="AC161" i="10"/>
  <c r="AA161" i="10"/>
  <c r="W161" i="10"/>
  <c r="U161" i="10"/>
  <c r="S161" i="10"/>
  <c r="AI160" i="10"/>
  <c r="AE160" i="10"/>
  <c r="AI159" i="10"/>
  <c r="AE159" i="10"/>
  <c r="AI158" i="10"/>
  <c r="AE158" i="10"/>
  <c r="AI157" i="10"/>
  <c r="AE157" i="10"/>
  <c r="K157" i="10"/>
  <c r="AI156" i="10"/>
  <c r="AE156" i="10"/>
  <c r="AC156" i="10"/>
  <c r="AA156" i="10"/>
  <c r="W156" i="10"/>
  <c r="U156" i="10"/>
  <c r="S156" i="10"/>
  <c r="AI155" i="10"/>
  <c r="AE155" i="10"/>
  <c r="AC155" i="10"/>
  <c r="AA155" i="10"/>
  <c r="W155" i="10"/>
  <c r="U155" i="10"/>
  <c r="S155" i="10"/>
  <c r="AI154" i="10"/>
  <c r="AE154" i="10"/>
  <c r="AC154" i="10"/>
  <c r="AA154" i="10"/>
  <c r="W154" i="10"/>
  <c r="U154" i="10"/>
  <c r="S154" i="10"/>
  <c r="AI153" i="10"/>
  <c r="AE153" i="10"/>
  <c r="AI152" i="10"/>
  <c r="AE152" i="10"/>
  <c r="AI151" i="10"/>
  <c r="AE151" i="10"/>
  <c r="K151" i="10"/>
  <c r="AI150" i="10"/>
  <c r="AE150" i="10"/>
  <c r="AC150" i="10"/>
  <c r="AA150" i="10"/>
  <c r="W150" i="10"/>
  <c r="U150" i="10"/>
  <c r="S150" i="10"/>
  <c r="AI149" i="10"/>
  <c r="AE149" i="10"/>
  <c r="AC149" i="10"/>
  <c r="AA149" i="10"/>
  <c r="W149" i="10"/>
  <c r="U149" i="10"/>
  <c r="S149" i="10"/>
  <c r="AI148" i="10"/>
  <c r="AE148" i="10"/>
  <c r="AI147" i="10"/>
  <c r="AE147" i="10"/>
  <c r="AI146" i="10"/>
  <c r="AE146" i="10"/>
  <c r="AI145" i="10"/>
  <c r="AE145" i="10"/>
  <c r="K145" i="10"/>
  <c r="AI144" i="10"/>
  <c r="AE144" i="10"/>
  <c r="AC144" i="10"/>
  <c r="AA144" i="10"/>
  <c r="W144" i="10"/>
  <c r="U144" i="10"/>
  <c r="S144" i="10"/>
  <c r="AI143" i="10"/>
  <c r="AE143" i="10"/>
  <c r="AC143" i="10"/>
  <c r="AA143" i="10"/>
  <c r="W143" i="10"/>
  <c r="U143" i="10"/>
  <c r="S143" i="10"/>
  <c r="AI142" i="10"/>
  <c r="AE142" i="10"/>
  <c r="AC142" i="10"/>
  <c r="AA142" i="10"/>
  <c r="W142" i="10"/>
  <c r="U142" i="10"/>
  <c r="S142" i="10"/>
  <c r="AI141" i="10"/>
  <c r="AE141" i="10"/>
  <c r="AI140" i="10"/>
  <c r="AE140" i="10"/>
  <c r="AI139" i="10"/>
  <c r="AE139" i="10"/>
  <c r="K139" i="10"/>
  <c r="C139" i="10"/>
  <c r="AI138" i="10"/>
  <c r="AE138" i="10"/>
  <c r="AC138" i="10"/>
  <c r="AA138" i="10"/>
  <c r="W138" i="10"/>
  <c r="U138" i="10"/>
  <c r="S138" i="10"/>
  <c r="AI137" i="10"/>
  <c r="AE137" i="10"/>
  <c r="AC137" i="10"/>
  <c r="AA137" i="10"/>
  <c r="W137" i="10"/>
  <c r="U137" i="10"/>
  <c r="S137" i="10"/>
  <c r="AI136" i="10"/>
  <c r="AE136" i="10"/>
  <c r="AC136" i="10"/>
  <c r="AA136" i="10"/>
  <c r="W136" i="10"/>
  <c r="U136" i="10"/>
  <c r="S136" i="10"/>
  <c r="AI135" i="10"/>
  <c r="AE135" i="10"/>
  <c r="AC135" i="10"/>
  <c r="AA135" i="10"/>
  <c r="W135" i="10"/>
  <c r="U135" i="10"/>
  <c r="S135" i="10"/>
  <c r="AI134" i="10"/>
  <c r="AE134" i="10"/>
  <c r="AI133" i="10"/>
  <c r="AE133" i="10"/>
  <c r="K133" i="10"/>
  <c r="C133" i="10"/>
  <c r="AI132" i="10"/>
  <c r="AE132" i="10"/>
  <c r="AC132" i="10"/>
  <c r="AA132" i="10"/>
  <c r="W132" i="10"/>
  <c r="U132" i="10"/>
  <c r="S132" i="10"/>
  <c r="AI131" i="10"/>
  <c r="AE131" i="10"/>
  <c r="AC131" i="10"/>
  <c r="AA131" i="10"/>
  <c r="W131" i="10"/>
  <c r="U131" i="10"/>
  <c r="S131" i="10"/>
  <c r="AI130" i="10"/>
  <c r="AE130" i="10"/>
  <c r="AI129" i="10"/>
  <c r="AE129" i="10"/>
  <c r="AI128" i="10"/>
  <c r="AE128" i="10"/>
  <c r="AI127" i="10"/>
  <c r="AE127" i="10"/>
  <c r="K127" i="10"/>
  <c r="C127" i="10"/>
  <c r="AI126" i="10"/>
  <c r="AE126" i="10"/>
  <c r="AC126" i="10"/>
  <c r="AA126" i="10"/>
  <c r="W126" i="10"/>
  <c r="U126" i="10"/>
  <c r="S126" i="10"/>
  <c r="AI125" i="10"/>
  <c r="AE125" i="10"/>
  <c r="AC125" i="10"/>
  <c r="AA125" i="10"/>
  <c r="W125" i="10"/>
  <c r="U125" i="10"/>
  <c r="S125" i="10"/>
  <c r="AI124" i="10"/>
  <c r="AE124" i="10"/>
  <c r="AC124" i="10"/>
  <c r="AA124" i="10"/>
  <c r="W124" i="10"/>
  <c r="U124" i="10"/>
  <c r="S124" i="10"/>
  <c r="AI123" i="10"/>
  <c r="AE123" i="10"/>
  <c r="AI122" i="10"/>
  <c r="AE122" i="10"/>
  <c r="AI121" i="10"/>
  <c r="AE121" i="10"/>
  <c r="K121" i="10"/>
  <c r="C121" i="10"/>
  <c r="AI120" i="10"/>
  <c r="AE120" i="10"/>
  <c r="AC120" i="10"/>
  <c r="AA120" i="10"/>
  <c r="W120" i="10"/>
  <c r="U120" i="10"/>
  <c r="S120" i="10"/>
  <c r="AI119" i="10"/>
  <c r="AE119" i="10"/>
  <c r="AC119" i="10"/>
  <c r="AA119" i="10"/>
  <c r="W119" i="10"/>
  <c r="U119" i="10"/>
  <c r="S119" i="10"/>
  <c r="AI118" i="10"/>
  <c r="AE118" i="10"/>
  <c r="AI117" i="10"/>
  <c r="AE117" i="10"/>
  <c r="AI116" i="10"/>
  <c r="AE116" i="10"/>
  <c r="AI115" i="10"/>
  <c r="AE115" i="10"/>
  <c r="K115" i="10"/>
  <c r="AI114" i="10"/>
  <c r="AE114" i="10"/>
  <c r="AC114" i="10"/>
  <c r="AA114" i="10"/>
  <c r="W114" i="10"/>
  <c r="U114" i="10"/>
  <c r="S114" i="10"/>
  <c r="AI113" i="10"/>
  <c r="AE113" i="10"/>
  <c r="AC113" i="10"/>
  <c r="AA113" i="10"/>
  <c r="W113" i="10"/>
  <c r="U113" i="10"/>
  <c r="S113" i="10"/>
  <c r="AI112" i="10"/>
  <c r="AE112" i="10"/>
  <c r="AC112" i="10"/>
  <c r="AA112" i="10"/>
  <c r="W112" i="10"/>
  <c r="U112" i="10"/>
  <c r="S112" i="10"/>
  <c r="AI111" i="10"/>
  <c r="AE111" i="10"/>
  <c r="AI110" i="10"/>
  <c r="AE110" i="10"/>
  <c r="AI109" i="10"/>
  <c r="AE109" i="10"/>
  <c r="K109" i="10"/>
  <c r="C109" i="10"/>
  <c r="AI108" i="10"/>
  <c r="AE108" i="10"/>
  <c r="AC108" i="10"/>
  <c r="AA108" i="10"/>
  <c r="W108" i="10"/>
  <c r="U108" i="10"/>
  <c r="S108" i="10"/>
  <c r="AI107" i="10"/>
  <c r="AE107" i="10"/>
  <c r="AC107" i="10"/>
  <c r="AA107" i="10"/>
  <c r="W107" i="10"/>
  <c r="U107" i="10"/>
  <c r="S107" i="10"/>
  <c r="AI106" i="10"/>
  <c r="AE106" i="10"/>
  <c r="AC106" i="10"/>
  <c r="AA106" i="10"/>
  <c r="W106" i="10"/>
  <c r="U106" i="10"/>
  <c r="S106" i="10"/>
  <c r="AI105" i="10"/>
  <c r="AE105" i="10"/>
  <c r="AI104" i="10"/>
  <c r="AE104" i="10"/>
  <c r="AI103" i="10"/>
  <c r="AE103" i="10"/>
  <c r="K103" i="10"/>
  <c r="C103" i="10"/>
  <c r="AI102" i="10"/>
  <c r="AE102" i="10"/>
  <c r="AC102" i="10"/>
  <c r="AA102" i="10"/>
  <c r="W102" i="10"/>
  <c r="U102" i="10"/>
  <c r="S102" i="10"/>
  <c r="AI101" i="10"/>
  <c r="AE101" i="10"/>
  <c r="AC101" i="10"/>
  <c r="AA101" i="10"/>
  <c r="W101" i="10"/>
  <c r="U101" i="10"/>
  <c r="S101" i="10"/>
  <c r="AI100" i="10"/>
  <c r="AE100" i="10"/>
  <c r="AC100" i="10"/>
  <c r="AI99" i="10"/>
  <c r="AE99" i="10"/>
  <c r="AI98" i="10"/>
  <c r="AE98" i="10"/>
  <c r="AI97" i="10"/>
  <c r="AE97" i="10"/>
  <c r="C97" i="10"/>
  <c r="AI96" i="10"/>
  <c r="AE96" i="10"/>
  <c r="AC96" i="10"/>
  <c r="AA96" i="10"/>
  <c r="W96" i="10"/>
  <c r="U96" i="10"/>
  <c r="S96" i="10"/>
  <c r="AI95" i="10"/>
  <c r="AE95" i="10"/>
  <c r="AC95" i="10"/>
  <c r="AA95" i="10"/>
  <c r="W95" i="10"/>
  <c r="U95" i="10"/>
  <c r="S95" i="10"/>
  <c r="AI94" i="10"/>
  <c r="AE94" i="10"/>
  <c r="AC94" i="10"/>
  <c r="AA94" i="10"/>
  <c r="W94" i="10"/>
  <c r="U94" i="10"/>
  <c r="S94" i="10"/>
  <c r="AI93" i="10"/>
  <c r="AE93" i="10"/>
  <c r="AI92" i="10"/>
  <c r="AE92" i="10"/>
  <c r="AI91" i="10"/>
  <c r="AE91" i="10"/>
  <c r="C91" i="10"/>
  <c r="AI90" i="10"/>
  <c r="AE90" i="10"/>
  <c r="AC90" i="10"/>
  <c r="AA90" i="10"/>
  <c r="W90" i="10"/>
  <c r="U90" i="10"/>
  <c r="S90" i="10"/>
  <c r="AI89" i="10"/>
  <c r="AE89" i="10"/>
  <c r="AC89" i="10"/>
  <c r="AA89" i="10"/>
  <c r="W89" i="10"/>
  <c r="U89" i="10"/>
  <c r="S89" i="10"/>
  <c r="AI88" i="10"/>
  <c r="AE88" i="10"/>
  <c r="AC88" i="10"/>
  <c r="AI87" i="10"/>
  <c r="AE87" i="10"/>
  <c r="AI86" i="10"/>
  <c r="AE86" i="10"/>
  <c r="AC86" i="10"/>
  <c r="AI85" i="10"/>
  <c r="AE85" i="10"/>
  <c r="AC85" i="10"/>
  <c r="K85" i="10"/>
  <c r="C85" i="10"/>
  <c r="AI84" i="10"/>
  <c r="AE84" i="10"/>
  <c r="AC84" i="10"/>
  <c r="AA84" i="10"/>
  <c r="W84" i="10"/>
  <c r="U84" i="10"/>
  <c r="S84" i="10"/>
  <c r="AI83" i="10"/>
  <c r="AE83" i="10"/>
  <c r="AC83" i="10"/>
  <c r="AA83" i="10"/>
  <c r="W83" i="10"/>
  <c r="U83" i="10"/>
  <c r="S83" i="10"/>
  <c r="AI82" i="10"/>
  <c r="AE82" i="10"/>
  <c r="AC82" i="10"/>
  <c r="AA82" i="10"/>
  <c r="W82" i="10"/>
  <c r="U82" i="10"/>
  <c r="S82" i="10"/>
  <c r="AI81" i="10"/>
  <c r="AE81" i="10"/>
  <c r="AI80" i="10"/>
  <c r="AE80" i="10"/>
  <c r="AI79" i="10"/>
  <c r="AE79" i="10"/>
  <c r="C79" i="10"/>
  <c r="AI78" i="10"/>
  <c r="AE78" i="10"/>
  <c r="AC78" i="10"/>
  <c r="AA78" i="10"/>
  <c r="W78" i="10"/>
  <c r="U78" i="10"/>
  <c r="S78" i="10"/>
  <c r="AI77" i="10"/>
  <c r="AE77" i="10"/>
  <c r="AC77" i="10"/>
  <c r="AA77" i="10"/>
  <c r="W77" i="10"/>
  <c r="U77" i="10"/>
  <c r="S77" i="10"/>
  <c r="AI76" i="10"/>
  <c r="AE76" i="10"/>
  <c r="AC76" i="10"/>
  <c r="AA76" i="10"/>
  <c r="W76" i="10"/>
  <c r="U76" i="10"/>
  <c r="S76" i="10"/>
  <c r="AI75" i="10"/>
  <c r="AE75" i="10"/>
  <c r="AI74" i="10"/>
  <c r="AE74" i="10"/>
  <c r="AI73" i="10"/>
  <c r="AE73" i="10"/>
  <c r="K73" i="10"/>
  <c r="C73" i="10"/>
  <c r="AI72" i="10"/>
  <c r="AE72" i="10"/>
  <c r="AC72" i="10"/>
  <c r="AA72" i="10"/>
  <c r="W72" i="10"/>
  <c r="U72" i="10"/>
  <c r="S72" i="10"/>
  <c r="AI71" i="10"/>
  <c r="AE71" i="10"/>
  <c r="AC71" i="10"/>
  <c r="AA71" i="10"/>
  <c r="W71" i="10"/>
  <c r="U71" i="10"/>
  <c r="S71" i="10"/>
  <c r="AI70" i="10"/>
  <c r="AE70" i="10"/>
  <c r="AC70" i="10"/>
  <c r="AA70" i="10"/>
  <c r="W70" i="10"/>
  <c r="U70" i="10"/>
  <c r="S70" i="10"/>
  <c r="AI69" i="10"/>
  <c r="AE69" i="10"/>
  <c r="AI68" i="10"/>
  <c r="AE68" i="10"/>
  <c r="AI67" i="10"/>
  <c r="AE67" i="10"/>
  <c r="K67" i="10"/>
  <c r="C67" i="10"/>
  <c r="AI66" i="10"/>
  <c r="AE66" i="10"/>
  <c r="AC66" i="10"/>
  <c r="AA66" i="10"/>
  <c r="W66" i="10"/>
  <c r="U66" i="10"/>
  <c r="S66" i="10"/>
  <c r="AI65" i="10"/>
  <c r="AE65" i="10"/>
  <c r="AC65" i="10"/>
  <c r="AA65" i="10"/>
  <c r="W65" i="10"/>
  <c r="U65" i="10"/>
  <c r="S65" i="10"/>
  <c r="AI64" i="10"/>
  <c r="AE64" i="10"/>
  <c r="AI63" i="10"/>
  <c r="AE63" i="10"/>
  <c r="AI62" i="10"/>
  <c r="AE62" i="10"/>
  <c r="AI61" i="10"/>
  <c r="AE61" i="10"/>
  <c r="K61" i="10"/>
  <c r="C61" i="10"/>
  <c r="AI60" i="10"/>
  <c r="AE60" i="10"/>
  <c r="AI59" i="10"/>
  <c r="AE59" i="10"/>
  <c r="AI58" i="10"/>
  <c r="AE58" i="10"/>
  <c r="AI57" i="10"/>
  <c r="AE57" i="10"/>
  <c r="AI56" i="10"/>
  <c r="AE56" i="10"/>
  <c r="AI55" i="10"/>
  <c r="AE55" i="10"/>
  <c r="K55" i="10"/>
  <c r="C55" i="10"/>
  <c r="AI54" i="10"/>
  <c r="AE54" i="10"/>
  <c r="AC54" i="10"/>
  <c r="AA54" i="10"/>
  <c r="W54" i="10"/>
  <c r="U54" i="10"/>
  <c r="S54" i="10"/>
  <c r="AI53" i="10"/>
  <c r="AE53" i="10"/>
  <c r="AC53" i="10"/>
  <c r="AA53" i="10"/>
  <c r="W53" i="10"/>
  <c r="U53" i="10"/>
  <c r="S53" i="10"/>
  <c r="AI52" i="10"/>
  <c r="AE52" i="10"/>
  <c r="AC52" i="10"/>
  <c r="AA52" i="10"/>
  <c r="W52" i="10"/>
  <c r="U52" i="10"/>
  <c r="S52" i="10"/>
  <c r="AI51" i="10"/>
  <c r="AE51" i="10"/>
  <c r="AC51" i="10"/>
  <c r="AA51" i="10"/>
  <c r="W51" i="10"/>
  <c r="U51" i="10"/>
  <c r="S51" i="10"/>
  <c r="AI50" i="10"/>
  <c r="AE50" i="10"/>
  <c r="AI49" i="10"/>
  <c r="AE49" i="10"/>
  <c r="K49" i="10"/>
  <c r="C49" i="10"/>
  <c r="AI48" i="10"/>
  <c r="AE48" i="10"/>
  <c r="AC48" i="10"/>
  <c r="AA48" i="10"/>
  <c r="W48" i="10"/>
  <c r="U48" i="10"/>
  <c r="S48" i="10"/>
  <c r="AI47" i="10"/>
  <c r="AE47" i="10"/>
  <c r="AC47" i="10"/>
  <c r="AA47" i="10"/>
  <c r="W47" i="10"/>
  <c r="U47" i="10"/>
  <c r="S47" i="10"/>
  <c r="AI46" i="10"/>
  <c r="AE46" i="10"/>
  <c r="AI45" i="10"/>
  <c r="AE45" i="10"/>
  <c r="AI44" i="10"/>
  <c r="AE44" i="10"/>
  <c r="AI43" i="10"/>
  <c r="AE43" i="10"/>
  <c r="K43" i="10"/>
  <c r="C43" i="10"/>
  <c r="AI42" i="10"/>
  <c r="AE42" i="10"/>
  <c r="AC42" i="10"/>
  <c r="AA42" i="10"/>
  <c r="W42" i="10"/>
  <c r="U42" i="10"/>
  <c r="S42" i="10"/>
  <c r="AI41" i="10"/>
  <c r="AE41" i="10"/>
  <c r="AI40" i="10"/>
  <c r="AE40" i="10"/>
  <c r="AI39" i="10"/>
  <c r="AE39" i="10"/>
  <c r="AI38" i="10"/>
  <c r="AE38" i="10"/>
  <c r="AI37" i="10"/>
  <c r="AE37" i="10"/>
  <c r="K37" i="10"/>
  <c r="AI36" i="10"/>
  <c r="AE36" i="10"/>
  <c r="AC36" i="10"/>
  <c r="AA36" i="10"/>
  <c r="W36" i="10"/>
  <c r="U36" i="10"/>
  <c r="S36" i="10"/>
  <c r="AI35" i="10"/>
  <c r="AE35" i="10"/>
  <c r="AC35" i="10"/>
  <c r="AA35" i="10"/>
  <c r="W35" i="10"/>
  <c r="U35" i="10"/>
  <c r="S35" i="10"/>
  <c r="AI34" i="10"/>
  <c r="AE34" i="10"/>
  <c r="AI33" i="10"/>
  <c r="AE33" i="10"/>
  <c r="AI32" i="10"/>
  <c r="AE32" i="10"/>
  <c r="AI31" i="10"/>
  <c r="AE31" i="10"/>
  <c r="K31" i="10"/>
  <c r="C31" i="10"/>
  <c r="AI30" i="10"/>
  <c r="AE30" i="10"/>
  <c r="AC30" i="10"/>
  <c r="AA30" i="10"/>
  <c r="W30" i="10"/>
  <c r="U30" i="10"/>
  <c r="S30" i="10"/>
  <c r="AI29" i="10"/>
  <c r="AE29" i="10"/>
  <c r="AC29" i="10"/>
  <c r="AA29" i="10"/>
  <c r="W29" i="10"/>
  <c r="U29" i="10"/>
  <c r="S29" i="10"/>
  <c r="AI28" i="10"/>
  <c r="AE28" i="10"/>
  <c r="AI27" i="10"/>
  <c r="AE27" i="10"/>
  <c r="AI26" i="10"/>
  <c r="AE26" i="10"/>
  <c r="AI25" i="10"/>
  <c r="AE25" i="10"/>
  <c r="K25" i="10"/>
  <c r="C25" i="10"/>
  <c r="AI24" i="10"/>
  <c r="AE24" i="10"/>
  <c r="AC24" i="10"/>
  <c r="AA24" i="10"/>
  <c r="W24" i="10"/>
  <c r="U24" i="10"/>
  <c r="S24" i="10"/>
  <c r="AI23" i="10"/>
  <c r="AE23" i="10"/>
  <c r="AC23" i="10"/>
  <c r="AA23" i="10"/>
  <c r="W23" i="10"/>
  <c r="U23" i="10"/>
  <c r="S23" i="10"/>
  <c r="AI22" i="10"/>
  <c r="AE22" i="10"/>
  <c r="AC22" i="10"/>
  <c r="AA22" i="10"/>
  <c r="W22" i="10"/>
  <c r="U22" i="10"/>
  <c r="S22" i="10"/>
  <c r="AI21" i="10"/>
  <c r="AE21" i="10"/>
  <c r="AC21" i="10"/>
  <c r="AA21" i="10"/>
  <c r="W21" i="10"/>
  <c r="U21" i="10"/>
  <c r="S21" i="10"/>
  <c r="AI20" i="10"/>
  <c r="AE20" i="10"/>
  <c r="AI19" i="10"/>
  <c r="AE19" i="10"/>
  <c r="C19" i="10"/>
  <c r="AE18" i="10"/>
  <c r="AC18" i="10"/>
  <c r="AA18" i="10"/>
  <c r="W18" i="10"/>
  <c r="U18" i="10"/>
  <c r="S18" i="10"/>
  <c r="AE17" i="10"/>
  <c r="AC17" i="10"/>
  <c r="AA17" i="10"/>
  <c r="W17" i="10"/>
  <c r="U17" i="10"/>
  <c r="S17" i="10"/>
  <c r="AE16" i="10"/>
  <c r="AE15" i="10"/>
  <c r="AI14" i="10"/>
  <c r="AE14" i="10"/>
  <c r="AI13" i="10"/>
  <c r="AE9" i="10"/>
  <c r="AC9" i="10"/>
  <c r="AA9" i="10"/>
  <c r="W9" i="10"/>
  <c r="U9" i="10"/>
  <c r="S9" i="10"/>
  <c r="AI8" i="10"/>
  <c r="AE8" i="10"/>
  <c r="AC8" i="10"/>
  <c r="AA8" i="10"/>
  <c r="W8" i="10"/>
  <c r="U8" i="10"/>
  <c r="S8" i="10"/>
  <c r="AI7" i="10"/>
  <c r="AE7" i="10"/>
  <c r="AC7" i="10"/>
  <c r="AA7" i="10"/>
  <c r="W7" i="10"/>
  <c r="U7" i="10"/>
  <c r="S7" i="10"/>
  <c r="K7" i="10"/>
  <c r="AD12" i="6"/>
  <c r="AD11" i="6"/>
  <c r="AD10" i="6"/>
  <c r="AD9" i="6"/>
  <c r="AD8" i="6"/>
  <c r="AC13" i="6"/>
  <c r="AC19" i="6"/>
  <c r="AC25" i="6"/>
  <c r="AC31" i="6"/>
  <c r="AC37" i="6"/>
  <c r="AC43" i="6"/>
  <c r="AC49" i="6"/>
  <c r="AC55" i="6"/>
  <c r="AC61" i="6"/>
  <c r="AC67" i="6"/>
  <c r="AC73" i="6"/>
  <c r="AC79" i="6"/>
  <c r="AC85" i="6"/>
  <c r="AC91" i="6"/>
  <c r="AC97" i="6"/>
  <c r="AC103" i="6"/>
  <c r="AC109" i="6"/>
  <c r="AC115" i="6"/>
  <c r="AC121" i="6"/>
  <c r="AC127" i="6"/>
  <c r="AC133" i="6"/>
  <c r="AC139" i="6"/>
  <c r="AC145" i="6"/>
  <c r="AC151" i="6"/>
  <c r="AC157" i="6"/>
  <c r="AC163" i="6"/>
  <c r="AC169" i="6"/>
  <c r="AC175" i="6"/>
  <c r="AC181" i="6"/>
  <c r="AC187" i="6"/>
  <c r="AC193" i="6"/>
  <c r="AC199" i="6"/>
  <c r="AC205" i="6"/>
  <c r="AC211" i="6"/>
  <c r="AC217" i="6"/>
  <c r="AC223" i="6"/>
  <c r="AC229" i="6"/>
  <c r="AC235" i="6"/>
  <c r="AC241" i="6"/>
  <c r="AC247" i="6"/>
  <c r="AC253" i="6"/>
  <c r="AC259" i="6"/>
  <c r="AC265" i="6"/>
  <c r="AC271" i="6"/>
  <c r="AC277" i="6"/>
  <c r="AC283" i="6"/>
  <c r="AC289" i="6"/>
  <c r="AC295" i="6"/>
  <c r="AC301" i="6"/>
  <c r="AC307" i="6"/>
  <c r="AC313" i="6"/>
  <c r="AC319" i="6"/>
  <c r="AC325" i="6"/>
  <c r="AC331" i="6"/>
  <c r="AC337" i="6"/>
  <c r="AC343" i="6"/>
  <c r="AC349" i="6"/>
  <c r="AC355" i="6"/>
  <c r="AC361" i="6"/>
  <c r="AC7" i="6"/>
  <c r="AP10" i="10" l="1"/>
  <c r="AP11" i="10"/>
  <c r="AP12" i="10"/>
  <c r="AF86" i="10"/>
  <c r="AG86" i="10" s="1"/>
  <c r="AF90" i="10"/>
  <c r="AG90" i="10" s="1"/>
  <c r="AF94" i="10"/>
  <c r="AG94" i="10" s="1"/>
  <c r="AF109" i="10"/>
  <c r="AG109" i="10" s="1"/>
  <c r="AF136" i="10"/>
  <c r="AG136" i="10" s="1"/>
  <c r="AF152" i="10"/>
  <c r="AG152" i="10" s="1"/>
  <c r="AF156" i="10"/>
  <c r="AG156" i="10" s="1"/>
  <c r="AF183" i="10"/>
  <c r="AG183" i="10" s="1"/>
  <c r="AF195" i="10"/>
  <c r="AG195" i="10" s="1"/>
  <c r="AF24" i="10"/>
  <c r="AG24" i="10" s="1"/>
  <c r="AF34" i="10"/>
  <c r="AG34" i="10" s="1"/>
  <c r="AF67" i="10"/>
  <c r="AG67" i="10" s="1"/>
  <c r="AF71" i="10"/>
  <c r="AG71" i="10" s="1"/>
  <c r="AF223" i="10"/>
  <c r="AG223" i="10" s="1"/>
  <c r="AF227" i="10"/>
  <c r="AG227" i="10" s="1"/>
  <c r="AF247" i="10"/>
  <c r="AG247" i="10" s="1"/>
  <c r="AF271" i="10"/>
  <c r="AG271" i="10" s="1"/>
  <c r="AF275" i="10"/>
  <c r="AG275" i="10" s="1"/>
  <c r="AF283" i="10"/>
  <c r="AG283" i="10" s="1"/>
  <c r="AF287" i="10"/>
  <c r="AG287" i="10" s="1"/>
  <c r="AF301" i="10"/>
  <c r="AG301" i="10" s="1"/>
  <c r="AF226" i="10"/>
  <c r="AG226" i="10" s="1"/>
  <c r="AF236" i="10"/>
  <c r="AG236" i="10" s="1"/>
  <c r="AF240" i="10"/>
  <c r="AG240" i="10" s="1"/>
  <c r="AF242" i="10"/>
  <c r="AG242" i="10" s="1"/>
  <c r="AF246" i="10"/>
  <c r="AG246" i="10" s="1"/>
  <c r="AF252" i="10"/>
  <c r="AG252" i="10" s="1"/>
  <c r="AF264" i="10"/>
  <c r="AG264" i="10" s="1"/>
  <c r="AF290" i="10"/>
  <c r="AG290" i="10" s="1"/>
  <c r="AF295" i="10"/>
  <c r="AG295" i="10" s="1"/>
  <c r="AF70" i="10"/>
  <c r="AG70" i="10" s="1"/>
  <c r="AF32" i="10"/>
  <c r="AG32" i="10" s="1"/>
  <c r="AF69" i="10"/>
  <c r="AG69" i="10" s="1"/>
  <c r="AF104" i="10"/>
  <c r="AG104" i="10" s="1"/>
  <c r="AF108" i="10"/>
  <c r="AG108" i="10" s="1"/>
  <c r="AF155" i="10"/>
  <c r="AG155" i="10" s="1"/>
  <c r="AF167" i="10"/>
  <c r="AG167" i="10" s="1"/>
  <c r="AF198" i="10"/>
  <c r="AG198" i="10" s="1"/>
  <c r="AF214" i="10"/>
  <c r="AG214" i="10" s="1"/>
  <c r="AF235" i="10"/>
  <c r="AG235" i="10" s="1"/>
  <c r="AF239" i="10"/>
  <c r="AG239" i="10" s="1"/>
  <c r="AF245" i="10"/>
  <c r="AG245" i="10" s="1"/>
  <c r="AF266" i="10"/>
  <c r="AG266" i="10" s="1"/>
  <c r="AF273" i="10"/>
  <c r="AG273" i="10" s="1"/>
  <c r="AF312" i="10"/>
  <c r="AG312" i="10" s="1"/>
  <c r="AF30" i="10"/>
  <c r="AG30" i="10" s="1"/>
  <c r="AF36" i="10"/>
  <c r="AG36" i="10" s="1"/>
  <c r="AF151" i="10"/>
  <c r="AG151" i="10" s="1"/>
  <c r="AF194" i="10"/>
  <c r="AG194" i="10" s="1"/>
  <c r="AF31" i="10"/>
  <c r="AG31" i="10" s="1"/>
  <c r="AF35" i="10"/>
  <c r="AG35" i="10" s="1"/>
  <c r="AF43" i="10"/>
  <c r="AG43" i="10" s="1"/>
  <c r="AF47" i="10"/>
  <c r="AG47" i="10" s="1"/>
  <c r="AF77" i="10"/>
  <c r="AG77" i="10" s="1"/>
  <c r="AF92" i="10"/>
  <c r="AG92" i="10" s="1"/>
  <c r="AF96" i="10"/>
  <c r="AG96" i="10" s="1"/>
  <c r="AF120" i="10"/>
  <c r="AG120" i="10" s="1"/>
  <c r="AF129" i="10"/>
  <c r="AG129" i="10" s="1"/>
  <c r="AF154" i="10"/>
  <c r="AG154" i="10" s="1"/>
  <c r="AF181" i="10"/>
  <c r="AG181" i="10" s="1"/>
  <c r="AF185" i="10"/>
  <c r="AG185" i="10" s="1"/>
  <c r="AF213" i="10"/>
  <c r="AG213" i="10" s="1"/>
  <c r="AF224" i="10"/>
  <c r="AG224" i="10" s="1"/>
  <c r="AF228" i="10"/>
  <c r="AG228" i="10" s="1"/>
  <c r="AF238" i="10"/>
  <c r="AG238" i="10" s="1"/>
  <c r="AF184" i="10"/>
  <c r="AG184" i="10" s="1"/>
  <c r="AF26" i="10"/>
  <c r="AG26" i="10" s="1"/>
  <c r="AF25" i="10"/>
  <c r="AG25" i="10" s="1"/>
  <c r="AF19" i="10"/>
  <c r="AG19" i="10" s="1"/>
  <c r="AF14" i="10"/>
  <c r="AG14" i="10" s="1"/>
  <c r="AF13" i="10"/>
  <c r="AG13" i="10" s="1"/>
  <c r="AF9" i="10"/>
  <c r="AG9" i="10" s="1"/>
  <c r="AF37" i="10"/>
  <c r="AG37" i="10" s="1"/>
  <c r="AF38" i="10"/>
  <c r="AG38" i="10" s="1"/>
  <c r="AF39" i="10"/>
  <c r="AG39" i="10" s="1"/>
  <c r="AF41" i="10"/>
  <c r="AG41" i="10" s="1"/>
  <c r="AF42" i="10"/>
  <c r="AG42" i="10" s="1"/>
  <c r="AF50" i="10"/>
  <c r="AG50" i="10" s="1"/>
  <c r="AF54" i="10"/>
  <c r="AG54" i="10" s="1"/>
  <c r="AF55" i="10"/>
  <c r="AG55" i="10" s="1"/>
  <c r="AF56" i="10"/>
  <c r="AG56" i="10" s="1"/>
  <c r="AF58" i="10"/>
  <c r="AG58" i="10" s="1"/>
  <c r="AF59" i="10"/>
  <c r="AG59" i="10" s="1"/>
  <c r="AF60" i="10"/>
  <c r="AG60" i="10" s="1"/>
  <c r="AF61" i="10"/>
  <c r="AG61" i="10" s="1"/>
  <c r="AF65" i="10"/>
  <c r="AG65" i="10" s="1"/>
  <c r="AF76" i="10"/>
  <c r="AG76" i="10" s="1"/>
  <c r="AF133" i="10"/>
  <c r="AG133" i="10" s="1"/>
  <c r="AF134" i="10"/>
  <c r="AG134" i="10" s="1"/>
  <c r="AF135" i="10"/>
  <c r="AG135" i="10" s="1"/>
  <c r="AF137" i="10"/>
  <c r="AG137" i="10" s="1"/>
  <c r="AF138" i="10"/>
  <c r="AG138" i="10" s="1"/>
  <c r="AF139" i="10"/>
  <c r="AG139" i="10" s="1"/>
  <c r="AF143" i="10"/>
  <c r="AG143" i="10" s="1"/>
  <c r="AF157" i="10"/>
  <c r="AG157" i="10" s="1"/>
  <c r="AF158" i="10"/>
  <c r="AG158" i="10" s="1"/>
  <c r="AF159" i="10"/>
  <c r="AG159" i="10" s="1"/>
  <c r="AF160" i="10"/>
  <c r="AG160" i="10" s="1"/>
  <c r="AF161" i="10"/>
  <c r="AG161" i="10" s="1"/>
  <c r="AF162" i="10"/>
  <c r="AG162" i="10" s="1"/>
  <c r="AF168" i="10"/>
  <c r="AG168" i="10" s="1"/>
  <c r="AF172" i="10"/>
  <c r="AG172" i="10" s="1"/>
  <c r="AF173" i="10"/>
  <c r="AG173" i="10" s="1"/>
  <c r="AF7" i="10"/>
  <c r="AG7" i="10" s="1"/>
  <c r="AF16" i="10"/>
  <c r="AG16" i="10" s="1"/>
  <c r="AF22" i="10"/>
  <c r="AG22" i="10" s="1"/>
  <c r="AF123" i="10"/>
  <c r="AG123" i="10" s="1"/>
  <c r="AF124" i="10"/>
  <c r="AG124" i="10" s="1"/>
  <c r="AF125" i="10"/>
  <c r="AG125" i="10" s="1"/>
  <c r="AF8" i="10"/>
  <c r="AG8" i="10" s="1"/>
  <c r="AF87" i="10"/>
  <c r="AG87" i="10" s="1"/>
  <c r="AF89" i="10"/>
  <c r="AG89" i="10" s="1"/>
  <c r="AF100" i="10"/>
  <c r="AG100" i="10" s="1"/>
  <c r="AF103" i="10"/>
  <c r="AG103" i="10" s="1"/>
  <c r="AF107" i="10"/>
  <c r="AG107" i="10" s="1"/>
  <c r="AF116" i="10"/>
  <c r="AG116" i="10" s="1"/>
  <c r="AF117" i="10"/>
  <c r="AG117" i="10" s="1"/>
  <c r="AF118" i="10"/>
  <c r="AG118" i="10" s="1"/>
  <c r="AF206" i="10"/>
  <c r="AG206" i="10" s="1"/>
  <c r="AF207" i="10"/>
  <c r="AG207" i="10" s="1"/>
  <c r="AF210" i="10"/>
  <c r="AG210" i="10" s="1"/>
  <c r="AF211" i="10"/>
  <c r="AG211" i="10" s="1"/>
  <c r="AF212" i="10"/>
  <c r="AG212" i="10" s="1"/>
  <c r="AF215" i="10"/>
  <c r="AG215" i="10" s="1"/>
  <c r="AF216" i="10"/>
  <c r="AG216" i="10" s="1"/>
  <c r="AF219" i="10"/>
  <c r="AG219" i="10" s="1"/>
  <c r="AF220" i="10"/>
  <c r="AG220" i="10" s="1"/>
  <c r="AF221" i="10"/>
  <c r="AG221" i="10" s="1"/>
  <c r="AF230" i="10"/>
  <c r="AG230" i="10" s="1"/>
  <c r="AF234" i="10"/>
  <c r="AG234" i="10" s="1"/>
  <c r="AF241" i="10"/>
  <c r="AG241" i="10" s="1"/>
  <c r="AF244" i="10"/>
  <c r="AG244" i="10" s="1"/>
  <c r="AF249" i="10"/>
  <c r="AG249" i="10" s="1"/>
  <c r="AF251" i="10"/>
  <c r="AG251" i="10" s="1"/>
  <c r="AF259" i="10"/>
  <c r="AG259" i="10" s="1"/>
  <c r="AF260" i="10"/>
  <c r="AG260" i="10" s="1"/>
  <c r="AF284" i="10"/>
  <c r="AG284" i="10" s="1"/>
  <c r="AF286" i="10"/>
  <c r="AG286" i="10" s="1"/>
  <c r="AF288" i="10"/>
  <c r="AG288" i="10" s="1"/>
  <c r="AF300" i="10"/>
  <c r="AG300" i="10" s="1"/>
  <c r="AF307" i="10"/>
  <c r="AG307" i="10" s="1"/>
  <c r="AF308" i="10"/>
  <c r="AG308" i="10" s="1"/>
  <c r="AF309" i="10"/>
  <c r="AG309" i="10" s="1"/>
  <c r="AF310" i="10"/>
  <c r="AG310" i="10" s="1"/>
  <c r="AF311" i="10"/>
  <c r="AG311" i="10" s="1"/>
  <c r="AF319" i="10"/>
  <c r="AG319" i="10" s="1"/>
  <c r="AF320" i="10"/>
  <c r="AG320" i="10" s="1"/>
  <c r="AF321" i="10"/>
  <c r="AG321" i="10" s="1"/>
  <c r="AF15" i="10"/>
  <c r="AG15" i="10" s="1"/>
  <c r="AF17" i="10"/>
  <c r="AG17" i="10" s="1"/>
  <c r="AF18" i="10"/>
  <c r="AG18" i="10" s="1"/>
  <c r="AF23" i="10"/>
  <c r="AG23" i="10" s="1"/>
  <c r="AF27" i="10"/>
  <c r="AG27" i="10" s="1"/>
  <c r="AF28" i="10"/>
  <c r="AG28" i="10" s="1"/>
  <c r="AF29" i="10"/>
  <c r="AG29" i="10" s="1"/>
  <c r="AF33" i="10"/>
  <c r="AG33" i="10" s="1"/>
  <c r="AF44" i="10"/>
  <c r="AG44" i="10" s="1"/>
  <c r="AF45" i="10"/>
  <c r="AG45" i="10" s="1"/>
  <c r="AF46" i="10"/>
  <c r="AG46" i="10" s="1"/>
  <c r="AF48" i="10"/>
  <c r="AG48" i="10" s="1"/>
  <c r="AF68" i="10"/>
  <c r="AG68" i="10" s="1"/>
  <c r="AF72" i="10"/>
  <c r="AG72" i="10" s="1"/>
  <c r="AF79" i="10"/>
  <c r="AG79" i="10" s="1"/>
  <c r="AF83" i="10"/>
  <c r="AG83" i="10" s="1"/>
  <c r="AF93" i="10"/>
  <c r="AG93" i="10" s="1"/>
  <c r="AF111" i="10"/>
  <c r="AG111" i="10" s="1"/>
  <c r="AF113" i="10"/>
  <c r="AG113" i="10" s="1"/>
  <c r="AF127" i="10"/>
  <c r="AG127" i="10" s="1"/>
  <c r="AF128" i="10"/>
  <c r="AG128" i="10" s="1"/>
  <c r="AF130" i="10"/>
  <c r="AG130" i="10" s="1"/>
  <c r="AF140" i="10"/>
  <c r="AG140" i="10" s="1"/>
  <c r="AF141" i="10"/>
  <c r="AG141" i="10" s="1"/>
  <c r="AF142" i="10"/>
  <c r="AG142" i="10" s="1"/>
  <c r="AF144" i="10"/>
  <c r="AG144" i="10" s="1"/>
  <c r="AF146" i="10"/>
  <c r="AG146" i="10" s="1"/>
  <c r="AF150" i="10"/>
  <c r="AG150" i="10" s="1"/>
  <c r="AF163" i="10"/>
  <c r="AG163" i="10" s="1"/>
  <c r="AF164" i="10"/>
  <c r="AG164" i="10" s="1"/>
  <c r="AF165" i="10"/>
  <c r="AG165" i="10" s="1"/>
  <c r="AF170" i="10"/>
  <c r="AG170" i="10" s="1"/>
  <c r="AF174" i="10"/>
  <c r="AG174" i="10" s="1"/>
  <c r="AF175" i="10"/>
  <c r="AG175" i="10" s="1"/>
  <c r="AF177" i="10"/>
  <c r="AG177" i="10" s="1"/>
  <c r="AF180" i="10"/>
  <c r="AG180" i="10" s="1"/>
  <c r="AF191" i="10"/>
  <c r="AG191" i="10" s="1"/>
  <c r="AF193" i="10"/>
  <c r="AG193" i="10" s="1"/>
  <c r="AF196" i="10"/>
  <c r="AG196" i="10" s="1"/>
  <c r="AF197" i="10"/>
  <c r="AG197" i="10" s="1"/>
  <c r="AF201" i="10"/>
  <c r="AG201" i="10" s="1"/>
  <c r="AF202" i="10"/>
  <c r="AG202" i="10" s="1"/>
  <c r="AF217" i="10"/>
  <c r="AG217" i="10" s="1"/>
  <c r="AF229" i="10"/>
  <c r="AG229" i="10" s="1"/>
  <c r="AF250" i="10"/>
  <c r="AG250" i="10" s="1"/>
  <c r="AF253" i="10"/>
  <c r="AG253" i="10" s="1"/>
  <c r="AF261" i="10"/>
  <c r="AG261" i="10" s="1"/>
  <c r="AF268" i="10"/>
  <c r="AG268" i="10" s="1"/>
  <c r="AF270" i="10"/>
  <c r="AG270" i="10" s="1"/>
  <c r="AF280" i="10"/>
  <c r="AG280" i="10" s="1"/>
  <c r="AF289" i="10"/>
  <c r="AG289" i="10" s="1"/>
  <c r="AF291" i="10"/>
  <c r="AG291" i="10" s="1"/>
  <c r="AF292" i="10"/>
  <c r="AG292" i="10" s="1"/>
  <c r="AF296" i="10"/>
  <c r="AG296" i="10" s="1"/>
  <c r="AF297" i="10"/>
  <c r="AG297" i="10" s="1"/>
  <c r="AF302" i="10"/>
  <c r="AG302" i="10" s="1"/>
  <c r="AF303" i="10"/>
  <c r="AG303" i="10" s="1"/>
  <c r="AF304" i="10"/>
  <c r="AG304" i="10" s="1"/>
  <c r="AF305" i="10"/>
  <c r="AG305" i="10" s="1"/>
  <c r="AF306" i="10"/>
  <c r="AG306" i="10" s="1"/>
  <c r="AF20" i="10"/>
  <c r="AG20" i="10" s="1"/>
  <c r="AF21" i="10"/>
  <c r="AG21" i="10" s="1"/>
  <c r="AF40" i="10"/>
  <c r="AG40" i="10" s="1"/>
  <c r="AF49" i="10"/>
  <c r="AG49" i="10" s="1"/>
  <c r="AF51" i="10"/>
  <c r="AG51" i="10" s="1"/>
  <c r="AF52" i="10"/>
  <c r="AG52" i="10" s="1"/>
  <c r="AF53" i="10"/>
  <c r="AG53" i="10" s="1"/>
  <c r="AF57" i="10"/>
  <c r="AG57" i="10" s="1"/>
  <c r="AF62" i="10"/>
  <c r="AG62" i="10" s="1"/>
  <c r="AF63" i="10"/>
  <c r="AG63" i="10" s="1"/>
  <c r="AF64" i="10"/>
  <c r="AG64" i="10" s="1"/>
  <c r="AF66" i="10"/>
  <c r="AG66" i="10" s="1"/>
  <c r="AF73" i="10"/>
  <c r="AG73" i="10" s="1"/>
  <c r="AF74" i="10"/>
  <c r="AG74" i="10" s="1"/>
  <c r="AF75" i="10"/>
  <c r="AG75" i="10" s="1"/>
  <c r="AF78" i="10"/>
  <c r="AG78" i="10" s="1"/>
  <c r="AF80" i="10"/>
  <c r="AG80" i="10" s="1"/>
  <c r="AF84" i="10"/>
  <c r="AG84" i="10" s="1"/>
  <c r="AF85" i="10"/>
  <c r="AG85" i="10" s="1"/>
  <c r="AF97" i="10"/>
  <c r="AG97" i="10" s="1"/>
  <c r="AF99" i="10"/>
  <c r="AG99" i="10" s="1"/>
  <c r="AF101" i="10"/>
  <c r="AG101" i="10" s="1"/>
  <c r="AF110" i="10"/>
  <c r="AG110" i="10" s="1"/>
  <c r="AF114" i="10"/>
  <c r="AG114" i="10" s="1"/>
  <c r="AF121" i="10"/>
  <c r="AG121" i="10" s="1"/>
  <c r="AF131" i="10"/>
  <c r="AG131" i="10" s="1"/>
  <c r="AF132" i="10"/>
  <c r="AG132" i="10" s="1"/>
  <c r="AF145" i="10"/>
  <c r="AG145" i="10" s="1"/>
  <c r="AF147" i="10"/>
  <c r="AG147" i="10" s="1"/>
  <c r="AF148" i="10"/>
  <c r="AG148" i="10" s="1"/>
  <c r="AF149" i="10"/>
  <c r="AG149" i="10" s="1"/>
  <c r="AF153" i="10"/>
  <c r="AG153" i="10" s="1"/>
  <c r="AF171" i="10"/>
  <c r="AG171" i="10" s="1"/>
  <c r="AF178" i="10"/>
  <c r="AG178" i="10" s="1"/>
  <c r="AF189" i="10"/>
  <c r="AG189" i="10" s="1"/>
  <c r="AF190" i="10"/>
  <c r="AG190" i="10" s="1"/>
  <c r="AF199" i="10"/>
  <c r="AG199" i="10" s="1"/>
  <c r="AF200" i="10"/>
  <c r="AG200" i="10" s="1"/>
  <c r="AF203" i="10"/>
  <c r="AG203" i="10" s="1"/>
  <c r="AF204" i="10"/>
  <c r="AG204" i="10" s="1"/>
  <c r="AF205" i="10"/>
  <c r="AG205" i="10" s="1"/>
  <c r="AF208" i="10"/>
  <c r="AG208" i="10" s="1"/>
  <c r="AF209" i="10"/>
  <c r="AG209" i="10" s="1"/>
  <c r="AF231" i="10"/>
  <c r="AG231" i="10" s="1"/>
  <c r="AF232" i="10"/>
  <c r="AG232" i="10" s="1"/>
  <c r="AF233" i="10"/>
  <c r="AG233" i="10" s="1"/>
  <c r="AF237" i="10"/>
  <c r="AG237" i="10" s="1"/>
  <c r="AF248" i="10"/>
  <c r="AG248" i="10" s="1"/>
  <c r="AF254" i="10"/>
  <c r="AG254" i="10" s="1"/>
  <c r="AF255" i="10"/>
  <c r="AG255" i="10" s="1"/>
  <c r="AF256" i="10"/>
  <c r="AG256" i="10" s="1"/>
  <c r="AF258" i="10"/>
  <c r="AG258" i="10" s="1"/>
  <c r="AF262" i="10"/>
  <c r="AG262" i="10" s="1"/>
  <c r="AF263" i="10"/>
  <c r="AG263" i="10" s="1"/>
  <c r="AF267" i="10"/>
  <c r="AG267" i="10" s="1"/>
  <c r="AF272" i="10"/>
  <c r="AG272" i="10" s="1"/>
  <c r="AF276" i="10"/>
  <c r="AG276" i="10" s="1"/>
  <c r="AF279" i="10"/>
  <c r="AG279" i="10" s="1"/>
  <c r="AF293" i="10"/>
  <c r="AG293" i="10" s="1"/>
  <c r="AF294" i="10"/>
  <c r="AG294" i="10" s="1"/>
  <c r="AF298" i="10"/>
  <c r="AG298" i="10" s="1"/>
  <c r="AF299" i="10"/>
  <c r="AG299" i="10" s="1"/>
  <c r="AF313" i="10"/>
  <c r="AG313" i="10" s="1"/>
  <c r="AF314" i="10"/>
  <c r="AG314" i="10" s="1"/>
  <c r="AF315" i="10"/>
  <c r="AG315" i="10" s="1"/>
  <c r="AF316" i="10"/>
  <c r="AG316" i="10" s="1"/>
  <c r="AF317" i="10"/>
  <c r="AG317" i="10" s="1"/>
  <c r="AF318" i="10"/>
  <c r="AG318" i="10" s="1"/>
  <c r="AF82" i="10"/>
  <c r="AG82" i="10" s="1"/>
  <c r="AF88" i="10"/>
  <c r="AG88" i="10" s="1"/>
  <c r="AF105" i="10"/>
  <c r="AG105" i="10" s="1"/>
  <c r="AF119" i="10"/>
  <c r="AG119" i="10" s="1"/>
  <c r="AF81" i="10"/>
  <c r="AG81" i="10" s="1"/>
  <c r="AF106" i="10"/>
  <c r="AG106" i="10" s="1"/>
  <c r="AF112" i="10"/>
  <c r="AG112" i="10" s="1"/>
  <c r="AF115" i="10"/>
  <c r="AG115" i="10" s="1"/>
  <c r="AF122" i="10"/>
  <c r="AG122" i="10" s="1"/>
  <c r="AF126" i="10"/>
  <c r="AG126" i="10" s="1"/>
  <c r="AF91" i="10"/>
  <c r="AG91" i="10" s="1"/>
  <c r="AF95" i="10"/>
  <c r="AG95" i="10" s="1"/>
  <c r="AF98" i="10"/>
  <c r="AG98" i="10" s="1"/>
  <c r="AF102" i="10"/>
  <c r="AG102" i="10" s="1"/>
  <c r="AF166" i="10"/>
  <c r="AG166" i="10" s="1"/>
  <c r="AF169" i="10"/>
  <c r="AG169" i="10" s="1"/>
  <c r="AF176" i="10"/>
  <c r="AG176" i="10" s="1"/>
  <c r="AF188" i="10"/>
  <c r="AG188" i="10" s="1"/>
  <c r="AF192" i="10"/>
  <c r="AG192" i="10" s="1"/>
  <c r="AF179" i="10"/>
  <c r="AG179" i="10" s="1"/>
  <c r="AF182" i="10"/>
  <c r="AG182" i="10" s="1"/>
  <c r="AF186" i="10"/>
  <c r="AG186" i="10" s="1"/>
  <c r="AF187" i="10"/>
  <c r="AG187" i="10" s="1"/>
  <c r="AF218" i="10"/>
  <c r="AG218" i="10" s="1"/>
  <c r="AF222" i="10"/>
  <c r="AG222" i="10" s="1"/>
  <c r="AF225" i="10"/>
  <c r="AG225" i="10" s="1"/>
  <c r="AF281" i="10"/>
  <c r="AG281" i="10" s="1"/>
  <c r="AF243" i="10"/>
  <c r="AG243" i="10" s="1"/>
  <c r="AF274" i="10"/>
  <c r="AG274" i="10" s="1"/>
  <c r="AF278" i="10"/>
  <c r="AG278" i="10" s="1"/>
  <c r="AF282" i="10"/>
  <c r="AG282" i="10" s="1"/>
  <c r="AF257" i="10"/>
  <c r="AG257" i="10" s="1"/>
  <c r="AF265" i="10"/>
  <c r="AG265" i="10" s="1"/>
  <c r="AF269" i="10"/>
  <c r="AG269" i="10" s="1"/>
  <c r="AF277" i="10"/>
  <c r="AG277" i="10" s="1"/>
  <c r="AF285" i="10"/>
  <c r="AG285" i="10" s="1"/>
  <c r="BA7" i="6"/>
  <c r="BA8" i="6"/>
  <c r="BA9" i="6"/>
  <c r="BA10" i="6"/>
  <c r="BA11" i="6"/>
  <c r="BA12" i="6"/>
  <c r="BA13" i="6"/>
  <c r="BA14" i="6"/>
  <c r="BA15" i="6"/>
  <c r="BA16" i="6"/>
  <c r="BA17" i="6"/>
  <c r="BA18" i="6"/>
  <c r="BA19" i="6"/>
  <c r="BA20" i="6"/>
  <c r="BA21" i="6"/>
  <c r="BA22" i="6"/>
  <c r="BA23" i="6"/>
  <c r="BA24" i="6"/>
  <c r="BA31" i="6"/>
  <c r="BA32" i="6"/>
  <c r="BA33" i="6"/>
  <c r="BA34" i="6"/>
  <c r="BA35" i="6"/>
  <c r="BA36" i="6"/>
  <c r="BA37" i="6"/>
  <c r="BA38" i="6"/>
  <c r="BA39" i="6"/>
  <c r="BA40" i="6"/>
  <c r="BA41" i="6"/>
  <c r="BA42" i="6"/>
  <c r="BA43" i="6"/>
  <c r="BA44" i="6"/>
  <c r="BA45" i="6"/>
  <c r="BA46" i="6"/>
  <c r="BA47" i="6"/>
  <c r="BA48" i="6"/>
  <c r="BA49" i="6"/>
  <c r="BA50" i="6"/>
  <c r="BA51" i="6"/>
  <c r="BA52" i="6"/>
  <c r="BA53" i="6"/>
  <c r="BA54" i="6"/>
  <c r="BA55" i="6"/>
  <c r="BA56" i="6"/>
  <c r="BA57" i="6"/>
  <c r="BA58" i="6"/>
  <c r="BA59" i="6"/>
  <c r="BA60" i="6"/>
  <c r="BA61" i="6"/>
  <c r="BA62" i="6"/>
  <c r="BA63" i="6"/>
  <c r="BA64" i="6"/>
  <c r="BA65" i="6"/>
  <c r="BA66" i="6"/>
  <c r="BA67" i="6"/>
  <c r="BA68" i="6"/>
  <c r="BA69" i="6"/>
  <c r="BA70" i="6"/>
  <c r="BA71" i="6"/>
  <c r="BA72" i="6"/>
  <c r="BA73" i="6"/>
  <c r="BA74" i="6"/>
  <c r="BA75" i="6"/>
  <c r="BA76" i="6"/>
  <c r="BA77" i="6"/>
  <c r="BA78" i="6"/>
  <c r="BA79" i="6"/>
  <c r="BA80" i="6"/>
  <c r="BA81" i="6"/>
  <c r="BA82" i="6"/>
  <c r="BA83" i="6"/>
  <c r="BA84" i="6"/>
  <c r="BA85" i="6"/>
  <c r="BA86" i="6"/>
  <c r="BA87" i="6"/>
  <c r="BA88" i="6"/>
  <c r="BA89" i="6"/>
  <c r="BA90" i="6"/>
  <c r="BA91" i="6"/>
  <c r="BA92" i="6"/>
  <c r="BA93" i="6"/>
  <c r="BA94" i="6"/>
  <c r="BA95" i="6"/>
  <c r="BA96" i="6"/>
  <c r="BA97" i="6"/>
  <c r="BA98" i="6"/>
  <c r="BA99" i="6"/>
  <c r="BA100" i="6"/>
  <c r="BA101" i="6"/>
  <c r="BA102" i="6"/>
  <c r="BA103" i="6"/>
  <c r="BA104" i="6"/>
  <c r="BA105" i="6"/>
  <c r="BA106" i="6"/>
  <c r="BA107" i="6"/>
  <c r="BA108" i="6"/>
  <c r="BA109" i="6"/>
  <c r="BA110" i="6"/>
  <c r="BA111" i="6"/>
  <c r="BA112" i="6"/>
  <c r="BA113" i="6"/>
  <c r="BA114" i="6"/>
  <c r="BA115" i="6"/>
  <c r="BA116" i="6"/>
  <c r="BA117" i="6"/>
  <c r="BA118" i="6"/>
  <c r="BA119" i="6"/>
  <c r="BA120" i="6"/>
  <c r="BA121" i="6"/>
  <c r="BA122" i="6"/>
  <c r="BA123" i="6"/>
  <c r="BA124" i="6"/>
  <c r="BA125" i="6"/>
  <c r="BA126" i="6"/>
  <c r="BA127" i="6"/>
  <c r="BA128" i="6"/>
  <c r="BA129" i="6"/>
  <c r="BA130" i="6"/>
  <c r="BA131" i="6"/>
  <c r="BA132" i="6"/>
  <c r="BA133" i="6"/>
  <c r="BA134" i="6"/>
  <c r="BA135" i="6"/>
  <c r="BA136" i="6"/>
  <c r="BA137" i="6"/>
  <c r="BA138" i="6"/>
  <c r="BA139" i="6"/>
  <c r="BA140" i="6"/>
  <c r="BA141" i="6"/>
  <c r="BA142" i="6"/>
  <c r="BA143" i="6"/>
  <c r="BA144" i="6"/>
  <c r="BA145" i="6"/>
  <c r="BA146" i="6"/>
  <c r="BA147" i="6"/>
  <c r="BA148" i="6"/>
  <c r="BA149" i="6"/>
  <c r="BA150" i="6"/>
  <c r="BA151" i="6"/>
  <c r="BA152" i="6"/>
  <c r="BA153" i="6"/>
  <c r="BA154" i="6"/>
  <c r="BA155" i="6"/>
  <c r="BA156" i="6"/>
  <c r="BA157" i="6"/>
  <c r="BA158" i="6"/>
  <c r="BA159" i="6"/>
  <c r="BA160" i="6"/>
  <c r="BA161" i="6"/>
  <c r="BA162" i="6"/>
  <c r="BA163" i="6"/>
  <c r="BA164" i="6"/>
  <c r="BA165" i="6"/>
  <c r="BA166" i="6"/>
  <c r="BA167" i="6"/>
  <c r="BA168" i="6"/>
  <c r="BA169" i="6"/>
  <c r="BA170" i="6"/>
  <c r="BA171" i="6"/>
  <c r="BA172" i="6"/>
  <c r="BA173" i="6"/>
  <c r="BA174" i="6"/>
  <c r="BA175" i="6"/>
  <c r="BA176" i="6"/>
  <c r="BA177" i="6"/>
  <c r="BA178" i="6"/>
  <c r="BA179" i="6"/>
  <c r="BA180" i="6"/>
  <c r="BA181" i="6"/>
  <c r="BA182" i="6"/>
  <c r="BA183" i="6"/>
  <c r="BA184" i="6"/>
  <c r="BA185" i="6"/>
  <c r="BA186" i="6"/>
  <c r="BA187" i="6"/>
  <c r="BA188" i="6"/>
  <c r="BA189" i="6"/>
  <c r="BA190" i="6"/>
  <c r="BA191" i="6"/>
  <c r="BA192" i="6"/>
  <c r="BA193" i="6"/>
  <c r="BA194" i="6"/>
  <c r="BA195" i="6"/>
  <c r="BA196" i="6"/>
  <c r="BA197" i="6"/>
  <c r="BA198" i="6"/>
  <c r="BA199" i="6"/>
  <c r="BA200" i="6"/>
  <c r="BA201" i="6"/>
  <c r="BA202" i="6"/>
  <c r="BA203" i="6"/>
  <c r="BA204" i="6"/>
  <c r="BA205" i="6"/>
  <c r="BA206" i="6"/>
  <c r="BA207" i="6"/>
  <c r="BA208" i="6"/>
  <c r="BA209" i="6"/>
  <c r="BA210" i="6"/>
  <c r="BA211" i="6"/>
  <c r="BA212" i="6"/>
  <c r="BA213" i="6"/>
  <c r="BA214" i="6"/>
  <c r="BA215" i="6"/>
  <c r="BA216" i="6"/>
  <c r="BA217" i="6"/>
  <c r="BA218" i="6"/>
  <c r="BA219" i="6"/>
  <c r="BA220" i="6"/>
  <c r="BA221" i="6"/>
  <c r="BA222" i="6"/>
  <c r="BA223" i="6"/>
  <c r="BA224" i="6"/>
  <c r="BA225" i="6"/>
  <c r="BA226" i="6"/>
  <c r="BA227" i="6"/>
  <c r="BA228" i="6"/>
  <c r="BA229" i="6"/>
  <c r="BA230" i="6"/>
  <c r="BA231" i="6"/>
  <c r="BA232" i="6"/>
  <c r="BA233" i="6"/>
  <c r="BA234" i="6"/>
  <c r="BA235" i="6"/>
  <c r="BA236" i="6"/>
  <c r="BA237" i="6"/>
  <c r="BA238" i="6"/>
  <c r="BA239" i="6"/>
  <c r="BA240" i="6"/>
  <c r="BA241" i="6"/>
  <c r="BA242" i="6"/>
  <c r="BA243" i="6"/>
  <c r="BA244" i="6"/>
  <c r="BA245" i="6"/>
  <c r="BA246" i="6"/>
  <c r="BA247" i="6"/>
  <c r="BA248" i="6"/>
  <c r="BA249" i="6"/>
  <c r="BA250" i="6"/>
  <c r="BA251" i="6"/>
  <c r="BA252" i="6"/>
  <c r="BA253" i="6"/>
  <c r="BA254" i="6"/>
  <c r="BA255" i="6"/>
  <c r="BA256" i="6"/>
  <c r="BA257" i="6"/>
  <c r="BA258" i="6"/>
  <c r="BA259" i="6"/>
  <c r="BA260" i="6"/>
  <c r="BA261" i="6"/>
  <c r="BA262" i="6"/>
  <c r="BA263" i="6"/>
  <c r="BA264" i="6"/>
  <c r="BA265" i="6"/>
  <c r="BA266" i="6"/>
  <c r="BA267" i="6"/>
  <c r="BA268" i="6"/>
  <c r="BA269" i="6"/>
  <c r="BA270" i="6"/>
  <c r="BA271" i="6"/>
  <c r="BA272" i="6"/>
  <c r="BA273" i="6"/>
  <c r="BA274" i="6"/>
  <c r="BA275" i="6"/>
  <c r="BA276" i="6"/>
  <c r="BA277" i="6"/>
  <c r="BA278" i="6"/>
  <c r="BA279" i="6"/>
  <c r="BA280" i="6"/>
  <c r="BA281" i="6"/>
  <c r="BA282" i="6"/>
  <c r="BA283" i="6"/>
  <c r="BA284" i="6"/>
  <c r="BA285" i="6"/>
  <c r="BA286" i="6"/>
  <c r="BA287" i="6"/>
  <c r="BA288" i="6"/>
  <c r="BA289" i="6"/>
  <c r="BA290" i="6"/>
  <c r="BA291" i="6"/>
  <c r="BA292" i="6"/>
  <c r="BA293" i="6"/>
  <c r="BA294" i="6"/>
  <c r="BA295" i="6"/>
  <c r="BA296" i="6"/>
  <c r="BA297" i="6"/>
  <c r="BA298" i="6"/>
  <c r="BA299" i="6"/>
  <c r="BA300" i="6"/>
  <c r="BA301" i="6"/>
  <c r="BA302" i="6"/>
  <c r="BA303" i="6"/>
  <c r="BA304" i="6"/>
  <c r="BA305" i="6"/>
  <c r="BA306" i="6"/>
  <c r="BA307" i="6"/>
  <c r="BA308" i="6"/>
  <c r="BA309" i="6"/>
  <c r="BA310" i="6"/>
  <c r="BA311" i="6"/>
  <c r="BA312" i="6"/>
  <c r="BA313" i="6"/>
  <c r="BA314" i="6"/>
  <c r="BA315" i="6"/>
  <c r="BA316" i="6"/>
  <c r="BA317" i="6"/>
  <c r="BA318" i="6"/>
  <c r="BA319" i="6"/>
  <c r="BA320" i="6"/>
  <c r="BA321" i="6"/>
  <c r="BA322" i="6"/>
  <c r="BA323" i="6"/>
  <c r="BA324" i="6"/>
  <c r="BA325" i="6"/>
  <c r="BA326" i="6"/>
  <c r="BA327" i="6"/>
  <c r="BA328" i="6"/>
  <c r="BA329" i="6"/>
  <c r="BA330" i="6"/>
  <c r="BA331" i="6"/>
  <c r="BA332" i="6"/>
  <c r="BA333" i="6"/>
  <c r="BA334" i="6"/>
  <c r="BA335" i="6"/>
  <c r="BA336" i="6"/>
  <c r="BA337" i="6"/>
  <c r="BA338" i="6"/>
  <c r="BA339" i="6"/>
  <c r="BA340" i="6"/>
  <c r="BA341" i="6"/>
  <c r="BA342" i="6"/>
  <c r="BA343" i="6"/>
  <c r="BA344" i="6"/>
  <c r="BA345" i="6"/>
  <c r="BA346" i="6"/>
  <c r="BA347" i="6"/>
  <c r="BA348" i="6"/>
  <c r="BA349" i="6"/>
  <c r="BA350" i="6"/>
  <c r="BA351" i="6"/>
  <c r="BA352" i="6"/>
  <c r="BA353" i="6"/>
  <c r="BA354" i="6"/>
  <c r="BA355" i="6"/>
  <c r="BA356" i="6"/>
  <c r="BA357" i="6"/>
  <c r="BA358" i="6"/>
  <c r="BA359" i="6"/>
  <c r="BA360" i="6"/>
  <c r="BA361" i="6"/>
  <c r="BA362" i="6"/>
  <c r="BA363" i="6"/>
  <c r="BA364" i="6"/>
  <c r="BA365" i="6"/>
  <c r="BA366" i="6"/>
  <c r="U4" i="7"/>
  <c r="U5" i="7"/>
  <c r="U6" i="7"/>
  <c r="U7" i="7"/>
  <c r="U8" i="7"/>
  <c r="U9" i="7"/>
  <c r="U10" i="7"/>
  <c r="U11" i="7"/>
  <c r="U3" i="7"/>
  <c r="AW8" i="6"/>
  <c r="AW9" i="6"/>
  <c r="AW10" i="6"/>
  <c r="AW11" i="6"/>
  <c r="AW12" i="6"/>
  <c r="AW13" i="6"/>
  <c r="AW14" i="6"/>
  <c r="AW15" i="6"/>
  <c r="AW16" i="6"/>
  <c r="AW17" i="6"/>
  <c r="AW18" i="6"/>
  <c r="AW19" i="6"/>
  <c r="AW20" i="6"/>
  <c r="AW21" i="6"/>
  <c r="AW22" i="6"/>
  <c r="AW23" i="6"/>
  <c r="AW24" i="6"/>
  <c r="AW25" i="6"/>
  <c r="AW26" i="6"/>
  <c r="AW27" i="6"/>
  <c r="AW28" i="6"/>
  <c r="AW29" i="6"/>
  <c r="AW30" i="6"/>
  <c r="AW31" i="6"/>
  <c r="AW32" i="6"/>
  <c r="AW33" i="6"/>
  <c r="AW34" i="6"/>
  <c r="AW35" i="6"/>
  <c r="AW36" i="6"/>
  <c r="AW37" i="6"/>
  <c r="AW38" i="6"/>
  <c r="AW39" i="6"/>
  <c r="AW40" i="6"/>
  <c r="AW41" i="6"/>
  <c r="AW42" i="6"/>
  <c r="AW43" i="6"/>
  <c r="AW44" i="6"/>
  <c r="AW45" i="6"/>
  <c r="AW46" i="6"/>
  <c r="AW47" i="6"/>
  <c r="AW48" i="6"/>
  <c r="AW49" i="6"/>
  <c r="AW50" i="6"/>
  <c r="AW51" i="6"/>
  <c r="AW52" i="6"/>
  <c r="AW53" i="6"/>
  <c r="AW54" i="6"/>
  <c r="AW55" i="6"/>
  <c r="AW56" i="6"/>
  <c r="AW57" i="6"/>
  <c r="AW58" i="6"/>
  <c r="AW59" i="6"/>
  <c r="AW60" i="6"/>
  <c r="AW61" i="6"/>
  <c r="AW62" i="6"/>
  <c r="AW63" i="6"/>
  <c r="AW64" i="6"/>
  <c r="AW65" i="6"/>
  <c r="AW66" i="6"/>
  <c r="AW67" i="6"/>
  <c r="AW68" i="6"/>
  <c r="AW69" i="6"/>
  <c r="AW70" i="6"/>
  <c r="AW71" i="6"/>
  <c r="AW72" i="6"/>
  <c r="AW73" i="6"/>
  <c r="AW74" i="6"/>
  <c r="AW75" i="6"/>
  <c r="AW76" i="6"/>
  <c r="AW77" i="6"/>
  <c r="AW78" i="6"/>
  <c r="AW79" i="6"/>
  <c r="AW80" i="6"/>
  <c r="AW81" i="6"/>
  <c r="AW82" i="6"/>
  <c r="AW83" i="6"/>
  <c r="AW84" i="6"/>
  <c r="AW85" i="6"/>
  <c r="AW86" i="6"/>
  <c r="AW87" i="6"/>
  <c r="AW88" i="6"/>
  <c r="AW89" i="6"/>
  <c r="AW90" i="6"/>
  <c r="AW91" i="6"/>
  <c r="AW92" i="6"/>
  <c r="AW93" i="6"/>
  <c r="AW94" i="6"/>
  <c r="AW95" i="6"/>
  <c r="AW96" i="6"/>
  <c r="AW97" i="6"/>
  <c r="AW98" i="6"/>
  <c r="AW99" i="6"/>
  <c r="AW100" i="6"/>
  <c r="AW101" i="6"/>
  <c r="AW102" i="6"/>
  <c r="AW103" i="6"/>
  <c r="AW104" i="6"/>
  <c r="AW105" i="6"/>
  <c r="AW106" i="6"/>
  <c r="AW107" i="6"/>
  <c r="AW108" i="6"/>
  <c r="AW109" i="6"/>
  <c r="AW110" i="6"/>
  <c r="AW111" i="6"/>
  <c r="AW112" i="6"/>
  <c r="AW113" i="6"/>
  <c r="AW114" i="6"/>
  <c r="AW115" i="6"/>
  <c r="AW116" i="6"/>
  <c r="AW117" i="6"/>
  <c r="AW118" i="6"/>
  <c r="AW119" i="6"/>
  <c r="AW120" i="6"/>
  <c r="AW121" i="6"/>
  <c r="AW122" i="6"/>
  <c r="AW123" i="6"/>
  <c r="AW124" i="6"/>
  <c r="AW125" i="6"/>
  <c r="AW126" i="6"/>
  <c r="AW127" i="6"/>
  <c r="AW128" i="6"/>
  <c r="AW129" i="6"/>
  <c r="AW130" i="6"/>
  <c r="AW131" i="6"/>
  <c r="AW132" i="6"/>
  <c r="AW133" i="6"/>
  <c r="AW134" i="6"/>
  <c r="AW135" i="6"/>
  <c r="AW136" i="6"/>
  <c r="AW137" i="6"/>
  <c r="AW138" i="6"/>
  <c r="AW139" i="6"/>
  <c r="AW140" i="6"/>
  <c r="AW141" i="6"/>
  <c r="AW142" i="6"/>
  <c r="AW143" i="6"/>
  <c r="AW144" i="6"/>
  <c r="AW145" i="6"/>
  <c r="AW146" i="6"/>
  <c r="AW147" i="6"/>
  <c r="AW148" i="6"/>
  <c r="AW149" i="6"/>
  <c r="AW150" i="6"/>
  <c r="AW151" i="6"/>
  <c r="AW152" i="6"/>
  <c r="AW153" i="6"/>
  <c r="AW154" i="6"/>
  <c r="AW155" i="6"/>
  <c r="AW156" i="6"/>
  <c r="AW157" i="6"/>
  <c r="AW158" i="6"/>
  <c r="AW159" i="6"/>
  <c r="AW160" i="6"/>
  <c r="AW161" i="6"/>
  <c r="AW162" i="6"/>
  <c r="AW163" i="6"/>
  <c r="AW164" i="6"/>
  <c r="AW165" i="6"/>
  <c r="AW166" i="6"/>
  <c r="AW167" i="6"/>
  <c r="AW168" i="6"/>
  <c r="AW169" i="6"/>
  <c r="AW170" i="6"/>
  <c r="AW171" i="6"/>
  <c r="AW172" i="6"/>
  <c r="AW173" i="6"/>
  <c r="AW174" i="6"/>
  <c r="AW175" i="6"/>
  <c r="AW176" i="6"/>
  <c r="AW177" i="6"/>
  <c r="AW178" i="6"/>
  <c r="AW179" i="6"/>
  <c r="AW180" i="6"/>
  <c r="AW181" i="6"/>
  <c r="AW182" i="6"/>
  <c r="AW183" i="6"/>
  <c r="AW184" i="6"/>
  <c r="AW185" i="6"/>
  <c r="AW186" i="6"/>
  <c r="AW187" i="6"/>
  <c r="AW188" i="6"/>
  <c r="AW189" i="6"/>
  <c r="AW190" i="6"/>
  <c r="AW191" i="6"/>
  <c r="AW192" i="6"/>
  <c r="AW193" i="6"/>
  <c r="AW194" i="6"/>
  <c r="AW195" i="6"/>
  <c r="AW196" i="6"/>
  <c r="AW197" i="6"/>
  <c r="AW198" i="6"/>
  <c r="AW199" i="6"/>
  <c r="AW200" i="6"/>
  <c r="AW201" i="6"/>
  <c r="AW202" i="6"/>
  <c r="AW203" i="6"/>
  <c r="AW204" i="6"/>
  <c r="AW205" i="6"/>
  <c r="AW206" i="6"/>
  <c r="AW207" i="6"/>
  <c r="AW208" i="6"/>
  <c r="AW209" i="6"/>
  <c r="AW210" i="6"/>
  <c r="AW211" i="6"/>
  <c r="AW212" i="6"/>
  <c r="AW213" i="6"/>
  <c r="AW214" i="6"/>
  <c r="AW215" i="6"/>
  <c r="AW216" i="6"/>
  <c r="AW217" i="6"/>
  <c r="AW218" i="6"/>
  <c r="AW219" i="6"/>
  <c r="AW220" i="6"/>
  <c r="AW221" i="6"/>
  <c r="AW222" i="6"/>
  <c r="AW223" i="6"/>
  <c r="AW224" i="6"/>
  <c r="AW225" i="6"/>
  <c r="AW226" i="6"/>
  <c r="AW227" i="6"/>
  <c r="AW228" i="6"/>
  <c r="AW229" i="6"/>
  <c r="AW230" i="6"/>
  <c r="AW231" i="6"/>
  <c r="AW232" i="6"/>
  <c r="AW233" i="6"/>
  <c r="AW234" i="6"/>
  <c r="AW235" i="6"/>
  <c r="AW236" i="6"/>
  <c r="AW237" i="6"/>
  <c r="AW238" i="6"/>
  <c r="AW239" i="6"/>
  <c r="AW240" i="6"/>
  <c r="AW241" i="6"/>
  <c r="AW242" i="6"/>
  <c r="AW243" i="6"/>
  <c r="AW244" i="6"/>
  <c r="AW245" i="6"/>
  <c r="AW246" i="6"/>
  <c r="AW247" i="6"/>
  <c r="AW248" i="6"/>
  <c r="AW249" i="6"/>
  <c r="AW250" i="6"/>
  <c r="AW251" i="6"/>
  <c r="AW252" i="6"/>
  <c r="AW253" i="6"/>
  <c r="AW254" i="6"/>
  <c r="AW255" i="6"/>
  <c r="AW256" i="6"/>
  <c r="AW257" i="6"/>
  <c r="AW258" i="6"/>
  <c r="AW259" i="6"/>
  <c r="AW260" i="6"/>
  <c r="AW261" i="6"/>
  <c r="AW262" i="6"/>
  <c r="AW263" i="6"/>
  <c r="AW264" i="6"/>
  <c r="AW265" i="6"/>
  <c r="AW266" i="6"/>
  <c r="AW267" i="6"/>
  <c r="AW268" i="6"/>
  <c r="AW269" i="6"/>
  <c r="AW270" i="6"/>
  <c r="AW271" i="6"/>
  <c r="AW272" i="6"/>
  <c r="AW273" i="6"/>
  <c r="AW274" i="6"/>
  <c r="AW275" i="6"/>
  <c r="AW276" i="6"/>
  <c r="AW277" i="6"/>
  <c r="AW278" i="6"/>
  <c r="AW279" i="6"/>
  <c r="AW280" i="6"/>
  <c r="AW281" i="6"/>
  <c r="AW282" i="6"/>
  <c r="AW283" i="6"/>
  <c r="AW284" i="6"/>
  <c r="AW285" i="6"/>
  <c r="AW286" i="6"/>
  <c r="AW287" i="6"/>
  <c r="AW288" i="6"/>
  <c r="AW289" i="6"/>
  <c r="AW290" i="6"/>
  <c r="AW291" i="6"/>
  <c r="AW292" i="6"/>
  <c r="AW293" i="6"/>
  <c r="AW294" i="6"/>
  <c r="AW295" i="6"/>
  <c r="AW296" i="6"/>
  <c r="AW297" i="6"/>
  <c r="AW298" i="6"/>
  <c r="AW299" i="6"/>
  <c r="AW300" i="6"/>
  <c r="AW301" i="6"/>
  <c r="AW302" i="6"/>
  <c r="AW303" i="6"/>
  <c r="AW304" i="6"/>
  <c r="AW305" i="6"/>
  <c r="AW306" i="6"/>
  <c r="AW307" i="6"/>
  <c r="AW308" i="6"/>
  <c r="AW309" i="6"/>
  <c r="AW310" i="6"/>
  <c r="AW311" i="6"/>
  <c r="AW312" i="6"/>
  <c r="AW313" i="6"/>
  <c r="AW314" i="6"/>
  <c r="AW315" i="6"/>
  <c r="AW316" i="6"/>
  <c r="AW317" i="6"/>
  <c r="AW318" i="6"/>
  <c r="AW319" i="6"/>
  <c r="AW320" i="6"/>
  <c r="AW321" i="6"/>
  <c r="AW322" i="6"/>
  <c r="AW323" i="6"/>
  <c r="AW324" i="6"/>
  <c r="AW325" i="6"/>
  <c r="AW326" i="6"/>
  <c r="AW327" i="6"/>
  <c r="AW328" i="6"/>
  <c r="AW329" i="6"/>
  <c r="AW330" i="6"/>
  <c r="AW331" i="6"/>
  <c r="AW332" i="6"/>
  <c r="AW333" i="6"/>
  <c r="AW334" i="6"/>
  <c r="AW335" i="6"/>
  <c r="AW336" i="6"/>
  <c r="AW337" i="6"/>
  <c r="AW338" i="6"/>
  <c r="AW339" i="6"/>
  <c r="AW340" i="6"/>
  <c r="AW341" i="6"/>
  <c r="AW342" i="6"/>
  <c r="AW343" i="6"/>
  <c r="AW344" i="6"/>
  <c r="AW345" i="6"/>
  <c r="AW346" i="6"/>
  <c r="AW347" i="6"/>
  <c r="AW348" i="6"/>
  <c r="AW349" i="6"/>
  <c r="AW350" i="6"/>
  <c r="AW351" i="6"/>
  <c r="AW352" i="6"/>
  <c r="AW353" i="6"/>
  <c r="AW354" i="6"/>
  <c r="AW355" i="6"/>
  <c r="AW356" i="6"/>
  <c r="AW357" i="6"/>
  <c r="AW358" i="6"/>
  <c r="AW359" i="6"/>
  <c r="AW360" i="6"/>
  <c r="AW361" i="6"/>
  <c r="AW362" i="6"/>
  <c r="AW363" i="6"/>
  <c r="AW364" i="6"/>
  <c r="AW365" i="6"/>
  <c r="AW366" i="6"/>
  <c r="AW7" i="6"/>
  <c r="AU8" i="6"/>
  <c r="AU9" i="6"/>
  <c r="AU10" i="6"/>
  <c r="AU11" i="6"/>
  <c r="AU12" i="6"/>
  <c r="AU13" i="6"/>
  <c r="AU14" i="6"/>
  <c r="AU15" i="6"/>
  <c r="AU16" i="6"/>
  <c r="AU17" i="6"/>
  <c r="AU18" i="6"/>
  <c r="AU19" i="6"/>
  <c r="AU20" i="6"/>
  <c r="AU21" i="6"/>
  <c r="AU22" i="6"/>
  <c r="AU23" i="6"/>
  <c r="AU24" i="6"/>
  <c r="AU26" i="6"/>
  <c r="AU27" i="6"/>
  <c r="AU28" i="6"/>
  <c r="AU29" i="6"/>
  <c r="AU30" i="6"/>
  <c r="AU34" i="6"/>
  <c r="AU35" i="6"/>
  <c r="AU36" i="6"/>
  <c r="AU37" i="6"/>
  <c r="AU38" i="6"/>
  <c r="AU39" i="6"/>
  <c r="AU40" i="6"/>
  <c r="AU41" i="6"/>
  <c r="AU42" i="6"/>
  <c r="AU43" i="6"/>
  <c r="AU44" i="6"/>
  <c r="AU45" i="6"/>
  <c r="AU46" i="6"/>
  <c r="AU47" i="6"/>
  <c r="AU48" i="6"/>
  <c r="AU49" i="6"/>
  <c r="AU50" i="6"/>
  <c r="AU51" i="6"/>
  <c r="AU52" i="6"/>
  <c r="AU53" i="6"/>
  <c r="AU54" i="6"/>
  <c r="AU55" i="6"/>
  <c r="AU56" i="6"/>
  <c r="AU57" i="6"/>
  <c r="AU58" i="6"/>
  <c r="AU59" i="6"/>
  <c r="AU60" i="6"/>
  <c r="AU61" i="6"/>
  <c r="AU62" i="6"/>
  <c r="AU63" i="6"/>
  <c r="AU64" i="6"/>
  <c r="AU65" i="6"/>
  <c r="AU66" i="6"/>
  <c r="AU67" i="6"/>
  <c r="AU68" i="6"/>
  <c r="AU69" i="6"/>
  <c r="AU70" i="6"/>
  <c r="AU71" i="6"/>
  <c r="AU72" i="6"/>
  <c r="AU73" i="6"/>
  <c r="AU74" i="6"/>
  <c r="AU75" i="6"/>
  <c r="AU76" i="6"/>
  <c r="AU77" i="6"/>
  <c r="AU78" i="6"/>
  <c r="AU79" i="6"/>
  <c r="AU80" i="6"/>
  <c r="AU81" i="6"/>
  <c r="AU82" i="6"/>
  <c r="AU83" i="6"/>
  <c r="AU84" i="6"/>
  <c r="AU85" i="6"/>
  <c r="AU86" i="6"/>
  <c r="AU87" i="6"/>
  <c r="AU88" i="6"/>
  <c r="AU89" i="6"/>
  <c r="AU90" i="6"/>
  <c r="AU91" i="6"/>
  <c r="AU92" i="6"/>
  <c r="AU93" i="6"/>
  <c r="AU94" i="6"/>
  <c r="AU95" i="6"/>
  <c r="AU96" i="6"/>
  <c r="AU97" i="6"/>
  <c r="AU98" i="6"/>
  <c r="AU99" i="6"/>
  <c r="AU100" i="6"/>
  <c r="AU101" i="6"/>
  <c r="AU102" i="6"/>
  <c r="AU103" i="6"/>
  <c r="AU104" i="6"/>
  <c r="AU105" i="6"/>
  <c r="AU106" i="6"/>
  <c r="AU107" i="6"/>
  <c r="AU108" i="6"/>
  <c r="AU109" i="6"/>
  <c r="AU110" i="6"/>
  <c r="AU111" i="6"/>
  <c r="AU112" i="6"/>
  <c r="AU113" i="6"/>
  <c r="AU114" i="6"/>
  <c r="AU115" i="6"/>
  <c r="AU116" i="6"/>
  <c r="AU117" i="6"/>
  <c r="AU118" i="6"/>
  <c r="AU119" i="6"/>
  <c r="AU120" i="6"/>
  <c r="AU121" i="6"/>
  <c r="AU122" i="6"/>
  <c r="AU123" i="6"/>
  <c r="AU124" i="6"/>
  <c r="AU125" i="6"/>
  <c r="AU126" i="6"/>
  <c r="AU127" i="6"/>
  <c r="AU128" i="6"/>
  <c r="AU129" i="6"/>
  <c r="AU130" i="6"/>
  <c r="AU131" i="6"/>
  <c r="AU132" i="6"/>
  <c r="AU133" i="6"/>
  <c r="AU134" i="6"/>
  <c r="AU135" i="6"/>
  <c r="AU136" i="6"/>
  <c r="AU137" i="6"/>
  <c r="AU138" i="6"/>
  <c r="AU139" i="6"/>
  <c r="AU140" i="6"/>
  <c r="AU141" i="6"/>
  <c r="AU142" i="6"/>
  <c r="AU143" i="6"/>
  <c r="AU144" i="6"/>
  <c r="AU145" i="6"/>
  <c r="AU146" i="6"/>
  <c r="AU147" i="6"/>
  <c r="AU148" i="6"/>
  <c r="AU149" i="6"/>
  <c r="AU150" i="6"/>
  <c r="AU151" i="6"/>
  <c r="AU152" i="6"/>
  <c r="AU153" i="6"/>
  <c r="AU154" i="6"/>
  <c r="AU155" i="6"/>
  <c r="AU156" i="6"/>
  <c r="AU157" i="6"/>
  <c r="AU158" i="6"/>
  <c r="AU159" i="6"/>
  <c r="AU160" i="6"/>
  <c r="AU161" i="6"/>
  <c r="AU162" i="6"/>
  <c r="AU163" i="6"/>
  <c r="AU164" i="6"/>
  <c r="AU165" i="6"/>
  <c r="AU166" i="6"/>
  <c r="AU167" i="6"/>
  <c r="AU168" i="6"/>
  <c r="AU169" i="6"/>
  <c r="AU170" i="6"/>
  <c r="AU171" i="6"/>
  <c r="AU172" i="6"/>
  <c r="AU173" i="6"/>
  <c r="AU174" i="6"/>
  <c r="AU175" i="6"/>
  <c r="AU176" i="6"/>
  <c r="AU177" i="6"/>
  <c r="AU178" i="6"/>
  <c r="AU179" i="6"/>
  <c r="AU180" i="6"/>
  <c r="AU181" i="6"/>
  <c r="AU182" i="6"/>
  <c r="AU183" i="6"/>
  <c r="AU184" i="6"/>
  <c r="AU185" i="6"/>
  <c r="AU186" i="6"/>
  <c r="AU187" i="6"/>
  <c r="AU188" i="6"/>
  <c r="AU189" i="6"/>
  <c r="AU190" i="6"/>
  <c r="AU191" i="6"/>
  <c r="AU192" i="6"/>
  <c r="AU193" i="6"/>
  <c r="AU194" i="6"/>
  <c r="AU195" i="6"/>
  <c r="AU196" i="6"/>
  <c r="AU197" i="6"/>
  <c r="AU198" i="6"/>
  <c r="AU199" i="6"/>
  <c r="AU200" i="6"/>
  <c r="AU201" i="6"/>
  <c r="AU202" i="6"/>
  <c r="AU203" i="6"/>
  <c r="AU204" i="6"/>
  <c r="AU205" i="6"/>
  <c r="AU206" i="6"/>
  <c r="AU207" i="6"/>
  <c r="AU208" i="6"/>
  <c r="AU209" i="6"/>
  <c r="AU210" i="6"/>
  <c r="AU211" i="6"/>
  <c r="AU212" i="6"/>
  <c r="AU213" i="6"/>
  <c r="AU214" i="6"/>
  <c r="AU215" i="6"/>
  <c r="AU216" i="6"/>
  <c r="AU217" i="6"/>
  <c r="AU218" i="6"/>
  <c r="AU219" i="6"/>
  <c r="AU220" i="6"/>
  <c r="AU221" i="6"/>
  <c r="AU222" i="6"/>
  <c r="AU223" i="6"/>
  <c r="AU224" i="6"/>
  <c r="AU225" i="6"/>
  <c r="AU226" i="6"/>
  <c r="AU227" i="6"/>
  <c r="AU228" i="6"/>
  <c r="AU229" i="6"/>
  <c r="AU230" i="6"/>
  <c r="AU231" i="6"/>
  <c r="AU232" i="6"/>
  <c r="AU233" i="6"/>
  <c r="AU234" i="6"/>
  <c r="AU235" i="6"/>
  <c r="AU236" i="6"/>
  <c r="AU237" i="6"/>
  <c r="AU238" i="6"/>
  <c r="AU239" i="6"/>
  <c r="AU240" i="6"/>
  <c r="AU241" i="6"/>
  <c r="AU242" i="6"/>
  <c r="AU243" i="6"/>
  <c r="AU244" i="6"/>
  <c r="AU245" i="6"/>
  <c r="AU246" i="6"/>
  <c r="AU247" i="6"/>
  <c r="AU248" i="6"/>
  <c r="AU249" i="6"/>
  <c r="AU250" i="6"/>
  <c r="AU251" i="6"/>
  <c r="AU252" i="6"/>
  <c r="AU253" i="6"/>
  <c r="AU254" i="6"/>
  <c r="AU255" i="6"/>
  <c r="AU256" i="6"/>
  <c r="AU257" i="6"/>
  <c r="AU258" i="6"/>
  <c r="AU259" i="6"/>
  <c r="AU260" i="6"/>
  <c r="AU261" i="6"/>
  <c r="AU262" i="6"/>
  <c r="AU263" i="6"/>
  <c r="AU264" i="6"/>
  <c r="AU265" i="6"/>
  <c r="AU266" i="6"/>
  <c r="AU267" i="6"/>
  <c r="AU268" i="6"/>
  <c r="AU269" i="6"/>
  <c r="AU270" i="6"/>
  <c r="AU271" i="6"/>
  <c r="AU272" i="6"/>
  <c r="AU273" i="6"/>
  <c r="AU274" i="6"/>
  <c r="AU275" i="6"/>
  <c r="AU276" i="6"/>
  <c r="AU277" i="6"/>
  <c r="AU278" i="6"/>
  <c r="AU279" i="6"/>
  <c r="AU280" i="6"/>
  <c r="AU281" i="6"/>
  <c r="AU282" i="6"/>
  <c r="AU283" i="6"/>
  <c r="AU284" i="6"/>
  <c r="AU285" i="6"/>
  <c r="AU286" i="6"/>
  <c r="AU287" i="6"/>
  <c r="AU288" i="6"/>
  <c r="AU289" i="6"/>
  <c r="AU290" i="6"/>
  <c r="AU291" i="6"/>
  <c r="AU292" i="6"/>
  <c r="AU293" i="6"/>
  <c r="AU294" i="6"/>
  <c r="AU295" i="6"/>
  <c r="AU296" i="6"/>
  <c r="AU297" i="6"/>
  <c r="AU298" i="6"/>
  <c r="AU299" i="6"/>
  <c r="AU300" i="6"/>
  <c r="AU301" i="6"/>
  <c r="AU302" i="6"/>
  <c r="AU303" i="6"/>
  <c r="AU304" i="6"/>
  <c r="AU305" i="6"/>
  <c r="AU306" i="6"/>
  <c r="AU307" i="6"/>
  <c r="AU308" i="6"/>
  <c r="AU309" i="6"/>
  <c r="AU310" i="6"/>
  <c r="AU311" i="6"/>
  <c r="AU312" i="6"/>
  <c r="AU313" i="6"/>
  <c r="AU314" i="6"/>
  <c r="AU315" i="6"/>
  <c r="AU316" i="6"/>
  <c r="AU317" i="6"/>
  <c r="AU318" i="6"/>
  <c r="AU319" i="6"/>
  <c r="AU320" i="6"/>
  <c r="AU321" i="6"/>
  <c r="AU322" i="6"/>
  <c r="AU323" i="6"/>
  <c r="AU324" i="6"/>
  <c r="AU325" i="6"/>
  <c r="AU326" i="6"/>
  <c r="AU327" i="6"/>
  <c r="AU328" i="6"/>
  <c r="AU329" i="6"/>
  <c r="AU330" i="6"/>
  <c r="AU331" i="6"/>
  <c r="AU332" i="6"/>
  <c r="AU333" i="6"/>
  <c r="AU334" i="6"/>
  <c r="AU335" i="6"/>
  <c r="AU336" i="6"/>
  <c r="AU337" i="6"/>
  <c r="AU338" i="6"/>
  <c r="AU339" i="6"/>
  <c r="AU340" i="6"/>
  <c r="AU341" i="6"/>
  <c r="AU342" i="6"/>
  <c r="AU343" i="6"/>
  <c r="AU344" i="6"/>
  <c r="AU345" i="6"/>
  <c r="AU346" i="6"/>
  <c r="AU347" i="6"/>
  <c r="AU348" i="6"/>
  <c r="AU349" i="6"/>
  <c r="AU350" i="6"/>
  <c r="AU351" i="6"/>
  <c r="AU352" i="6"/>
  <c r="AU353" i="6"/>
  <c r="AU354" i="6"/>
  <c r="AU355" i="6"/>
  <c r="AU356" i="6"/>
  <c r="AU357" i="6"/>
  <c r="AU358" i="6"/>
  <c r="AU359" i="6"/>
  <c r="AU360" i="6"/>
  <c r="AU361" i="6"/>
  <c r="AU362" i="6"/>
  <c r="AU363" i="6"/>
  <c r="AU364" i="6"/>
  <c r="AU365" i="6"/>
  <c r="AU366" i="6"/>
  <c r="AU7" i="6"/>
  <c r="AS8" i="6"/>
  <c r="AS9" i="6"/>
  <c r="AS10" i="6"/>
  <c r="AS11" i="6"/>
  <c r="AS12" i="6"/>
  <c r="AS13" i="6"/>
  <c r="AS14" i="6"/>
  <c r="AS15" i="6"/>
  <c r="AS16" i="6"/>
  <c r="AS17" i="6"/>
  <c r="AS18" i="6"/>
  <c r="AS19" i="6"/>
  <c r="AS20" i="6"/>
  <c r="AS21" i="6"/>
  <c r="AS22" i="6"/>
  <c r="AS23" i="6"/>
  <c r="AS24" i="6"/>
  <c r="AS26" i="6"/>
  <c r="AS27" i="6"/>
  <c r="AS28" i="6"/>
  <c r="AS29" i="6"/>
  <c r="AS30" i="6"/>
  <c r="AS34" i="6"/>
  <c r="AS35" i="6"/>
  <c r="AS36" i="6"/>
  <c r="AS37" i="6"/>
  <c r="AS38" i="6"/>
  <c r="AS39" i="6"/>
  <c r="AS40" i="6"/>
  <c r="AS41" i="6"/>
  <c r="AS42" i="6"/>
  <c r="AS43" i="6"/>
  <c r="AS44" i="6"/>
  <c r="AS45" i="6"/>
  <c r="AS46" i="6"/>
  <c r="AS47" i="6"/>
  <c r="AS48" i="6"/>
  <c r="AS49" i="6"/>
  <c r="AS50" i="6"/>
  <c r="AS51" i="6"/>
  <c r="AS52" i="6"/>
  <c r="AS53" i="6"/>
  <c r="AS54" i="6"/>
  <c r="AS55" i="6"/>
  <c r="AS56" i="6"/>
  <c r="AS57" i="6"/>
  <c r="AS58" i="6"/>
  <c r="AS59" i="6"/>
  <c r="AS60" i="6"/>
  <c r="AS61" i="6"/>
  <c r="AS62" i="6"/>
  <c r="AS63" i="6"/>
  <c r="AS64" i="6"/>
  <c r="AS65" i="6"/>
  <c r="AS66" i="6"/>
  <c r="AS67" i="6"/>
  <c r="AS68" i="6"/>
  <c r="AS69" i="6"/>
  <c r="AS70" i="6"/>
  <c r="AS71" i="6"/>
  <c r="AS72" i="6"/>
  <c r="AS73" i="6"/>
  <c r="AS74" i="6"/>
  <c r="AS75" i="6"/>
  <c r="AS76" i="6"/>
  <c r="AS77" i="6"/>
  <c r="AS78" i="6"/>
  <c r="AS79" i="6"/>
  <c r="AS80" i="6"/>
  <c r="AS81" i="6"/>
  <c r="AS82" i="6"/>
  <c r="AS83" i="6"/>
  <c r="AS84" i="6"/>
  <c r="AS85" i="6"/>
  <c r="AS86" i="6"/>
  <c r="AS87" i="6"/>
  <c r="AS88" i="6"/>
  <c r="AS89" i="6"/>
  <c r="AS90" i="6"/>
  <c r="AS91" i="6"/>
  <c r="AS92" i="6"/>
  <c r="AS93" i="6"/>
  <c r="AS94" i="6"/>
  <c r="AS95" i="6"/>
  <c r="AS96" i="6"/>
  <c r="AS97" i="6"/>
  <c r="AS98" i="6"/>
  <c r="AS99" i="6"/>
  <c r="AS100" i="6"/>
  <c r="AS101" i="6"/>
  <c r="AS102" i="6"/>
  <c r="AS103" i="6"/>
  <c r="AS104" i="6"/>
  <c r="AS105" i="6"/>
  <c r="AS106" i="6"/>
  <c r="AS107" i="6"/>
  <c r="AS108" i="6"/>
  <c r="AS109" i="6"/>
  <c r="AS110" i="6"/>
  <c r="AS111" i="6"/>
  <c r="AS112" i="6"/>
  <c r="AS113" i="6"/>
  <c r="AS114" i="6"/>
  <c r="AS115" i="6"/>
  <c r="AS116" i="6"/>
  <c r="AS117" i="6"/>
  <c r="AS118" i="6"/>
  <c r="AS119" i="6"/>
  <c r="AS120" i="6"/>
  <c r="AS121" i="6"/>
  <c r="AS122" i="6"/>
  <c r="AS123" i="6"/>
  <c r="AS124" i="6"/>
  <c r="AS125" i="6"/>
  <c r="AS126" i="6"/>
  <c r="AS127" i="6"/>
  <c r="AS128" i="6"/>
  <c r="AS129" i="6"/>
  <c r="AS130" i="6"/>
  <c r="AS131" i="6"/>
  <c r="AS132" i="6"/>
  <c r="AS133" i="6"/>
  <c r="AS134" i="6"/>
  <c r="AS135" i="6"/>
  <c r="AS136" i="6"/>
  <c r="AS137" i="6"/>
  <c r="AS138" i="6"/>
  <c r="AS139" i="6"/>
  <c r="AS140" i="6"/>
  <c r="AS141" i="6"/>
  <c r="AS142" i="6"/>
  <c r="AS143" i="6"/>
  <c r="AS144" i="6"/>
  <c r="AS145" i="6"/>
  <c r="AS146" i="6"/>
  <c r="AS147" i="6"/>
  <c r="AS148" i="6"/>
  <c r="AS149" i="6"/>
  <c r="AS150" i="6"/>
  <c r="AS151" i="6"/>
  <c r="AS152" i="6"/>
  <c r="AS153" i="6"/>
  <c r="AS154" i="6"/>
  <c r="AS155" i="6"/>
  <c r="AS156" i="6"/>
  <c r="AS157" i="6"/>
  <c r="AS158" i="6"/>
  <c r="AS159" i="6"/>
  <c r="AS160" i="6"/>
  <c r="AS161" i="6"/>
  <c r="AS162" i="6"/>
  <c r="AS163" i="6"/>
  <c r="AS164" i="6"/>
  <c r="AS165" i="6"/>
  <c r="AS166" i="6"/>
  <c r="AS167" i="6"/>
  <c r="AS168" i="6"/>
  <c r="AS169" i="6"/>
  <c r="AS170" i="6"/>
  <c r="AS171" i="6"/>
  <c r="AS172" i="6"/>
  <c r="AS173" i="6"/>
  <c r="AS174" i="6"/>
  <c r="AS175" i="6"/>
  <c r="AS176" i="6"/>
  <c r="AS177" i="6"/>
  <c r="AS178" i="6"/>
  <c r="AS179" i="6"/>
  <c r="AS180" i="6"/>
  <c r="AS181" i="6"/>
  <c r="AS182" i="6"/>
  <c r="AS183" i="6"/>
  <c r="AS184" i="6"/>
  <c r="AS185" i="6"/>
  <c r="AS186" i="6"/>
  <c r="AS187" i="6"/>
  <c r="AS188" i="6"/>
  <c r="AS189" i="6"/>
  <c r="AS190" i="6"/>
  <c r="AS191" i="6"/>
  <c r="AS192" i="6"/>
  <c r="AS193" i="6"/>
  <c r="AS194" i="6"/>
  <c r="AS195" i="6"/>
  <c r="AS196" i="6"/>
  <c r="AS197" i="6"/>
  <c r="AS198" i="6"/>
  <c r="AS199" i="6"/>
  <c r="AS200" i="6"/>
  <c r="AS201" i="6"/>
  <c r="AS202" i="6"/>
  <c r="AS203" i="6"/>
  <c r="AS204" i="6"/>
  <c r="AS205" i="6"/>
  <c r="AS206" i="6"/>
  <c r="AS207" i="6"/>
  <c r="AS208" i="6"/>
  <c r="AS209" i="6"/>
  <c r="AS210" i="6"/>
  <c r="AS211" i="6"/>
  <c r="AS212" i="6"/>
  <c r="AS213" i="6"/>
  <c r="AS214" i="6"/>
  <c r="AS215" i="6"/>
  <c r="AS216" i="6"/>
  <c r="AS217" i="6"/>
  <c r="AS218" i="6"/>
  <c r="AS219" i="6"/>
  <c r="AS220" i="6"/>
  <c r="AS221" i="6"/>
  <c r="AS222" i="6"/>
  <c r="AS223" i="6"/>
  <c r="AS224" i="6"/>
  <c r="AS225" i="6"/>
  <c r="AS226" i="6"/>
  <c r="AS227" i="6"/>
  <c r="AS228" i="6"/>
  <c r="AS229" i="6"/>
  <c r="AS230" i="6"/>
  <c r="AS231" i="6"/>
  <c r="AS232" i="6"/>
  <c r="AS233" i="6"/>
  <c r="AS234" i="6"/>
  <c r="AS235" i="6"/>
  <c r="AS236" i="6"/>
  <c r="AS237" i="6"/>
  <c r="AS238" i="6"/>
  <c r="AS239" i="6"/>
  <c r="AS240" i="6"/>
  <c r="AS241" i="6"/>
  <c r="AS242" i="6"/>
  <c r="AS243" i="6"/>
  <c r="AS244" i="6"/>
  <c r="AS245" i="6"/>
  <c r="AS246" i="6"/>
  <c r="AS247" i="6"/>
  <c r="AS248" i="6"/>
  <c r="AS249" i="6"/>
  <c r="AS250" i="6"/>
  <c r="AS251" i="6"/>
  <c r="AS252" i="6"/>
  <c r="AS253" i="6"/>
  <c r="AS254" i="6"/>
  <c r="AS255" i="6"/>
  <c r="AS256" i="6"/>
  <c r="AS257" i="6"/>
  <c r="AS258" i="6"/>
  <c r="AS259" i="6"/>
  <c r="AS260" i="6"/>
  <c r="AS261" i="6"/>
  <c r="AS262" i="6"/>
  <c r="AS263" i="6"/>
  <c r="AS264" i="6"/>
  <c r="AS265" i="6"/>
  <c r="AS266" i="6"/>
  <c r="AS267" i="6"/>
  <c r="AS268" i="6"/>
  <c r="AS269" i="6"/>
  <c r="AS270" i="6"/>
  <c r="AS271" i="6"/>
  <c r="AS272" i="6"/>
  <c r="AS273" i="6"/>
  <c r="AS274" i="6"/>
  <c r="AS275" i="6"/>
  <c r="AS276" i="6"/>
  <c r="AS277" i="6"/>
  <c r="AS278" i="6"/>
  <c r="AS279" i="6"/>
  <c r="AS280" i="6"/>
  <c r="AS281" i="6"/>
  <c r="AS282" i="6"/>
  <c r="AS283" i="6"/>
  <c r="AS284" i="6"/>
  <c r="AS285" i="6"/>
  <c r="AS286" i="6"/>
  <c r="AS287" i="6"/>
  <c r="AS288" i="6"/>
  <c r="AS289" i="6"/>
  <c r="AS290" i="6"/>
  <c r="AS291" i="6"/>
  <c r="AS292" i="6"/>
  <c r="AS293" i="6"/>
  <c r="AS294" i="6"/>
  <c r="AS295" i="6"/>
  <c r="AS296" i="6"/>
  <c r="AS297" i="6"/>
  <c r="AS298" i="6"/>
  <c r="AS299" i="6"/>
  <c r="AS300" i="6"/>
  <c r="AS301" i="6"/>
  <c r="AS302" i="6"/>
  <c r="AS303" i="6"/>
  <c r="AS304" i="6"/>
  <c r="AS305" i="6"/>
  <c r="AS306" i="6"/>
  <c r="AS307" i="6"/>
  <c r="AS308" i="6"/>
  <c r="AS309" i="6"/>
  <c r="AS310" i="6"/>
  <c r="AS311" i="6"/>
  <c r="AS312" i="6"/>
  <c r="AS313" i="6"/>
  <c r="AS314" i="6"/>
  <c r="AS315" i="6"/>
  <c r="AS316" i="6"/>
  <c r="AS317" i="6"/>
  <c r="AS318" i="6"/>
  <c r="AS319" i="6"/>
  <c r="AS320" i="6"/>
  <c r="AS321" i="6"/>
  <c r="AS322" i="6"/>
  <c r="AS323" i="6"/>
  <c r="AS324" i="6"/>
  <c r="AS325" i="6"/>
  <c r="AS326" i="6"/>
  <c r="AS327" i="6"/>
  <c r="AS328" i="6"/>
  <c r="AS329" i="6"/>
  <c r="AS330" i="6"/>
  <c r="AS331" i="6"/>
  <c r="AS332" i="6"/>
  <c r="AS333" i="6"/>
  <c r="AS334" i="6"/>
  <c r="AS335" i="6"/>
  <c r="AS336" i="6"/>
  <c r="AS337" i="6"/>
  <c r="AS338" i="6"/>
  <c r="AS339" i="6"/>
  <c r="AS340" i="6"/>
  <c r="AS341" i="6"/>
  <c r="AS342" i="6"/>
  <c r="AS343" i="6"/>
  <c r="AS344" i="6"/>
  <c r="AS345" i="6"/>
  <c r="AS346" i="6"/>
  <c r="AS347" i="6"/>
  <c r="AS348" i="6"/>
  <c r="AS349" i="6"/>
  <c r="AS350" i="6"/>
  <c r="AS351" i="6"/>
  <c r="AS352" i="6"/>
  <c r="AS353" i="6"/>
  <c r="AS354" i="6"/>
  <c r="AS355" i="6"/>
  <c r="AS356" i="6"/>
  <c r="AS357" i="6"/>
  <c r="AS358" i="6"/>
  <c r="AS359" i="6"/>
  <c r="AS360" i="6"/>
  <c r="AS361" i="6"/>
  <c r="AS362" i="6"/>
  <c r="AS363" i="6"/>
  <c r="AS364" i="6"/>
  <c r="AS365" i="6"/>
  <c r="AS366" i="6"/>
  <c r="AS7" i="6"/>
  <c r="AO8" i="6"/>
  <c r="AO9" i="6"/>
  <c r="AO10" i="6"/>
  <c r="AO11" i="6"/>
  <c r="AO12" i="6"/>
  <c r="AO13" i="6"/>
  <c r="AO14" i="6"/>
  <c r="AO15" i="6"/>
  <c r="AO16" i="6"/>
  <c r="AO17" i="6"/>
  <c r="AO18" i="6"/>
  <c r="AO19" i="6"/>
  <c r="AO20" i="6"/>
  <c r="AO21" i="6"/>
  <c r="AO22" i="6"/>
  <c r="AO23" i="6"/>
  <c r="AO24" i="6"/>
  <c r="AO26" i="6"/>
  <c r="AO27" i="6"/>
  <c r="AO28" i="6"/>
  <c r="AO29" i="6"/>
  <c r="AO30" i="6"/>
  <c r="AO34" i="6"/>
  <c r="AO35" i="6"/>
  <c r="AO36" i="6"/>
  <c r="AO37" i="6"/>
  <c r="AO38" i="6"/>
  <c r="AO39" i="6"/>
  <c r="AO40" i="6"/>
  <c r="AO41" i="6"/>
  <c r="AO42" i="6"/>
  <c r="AO43" i="6"/>
  <c r="AO44" i="6"/>
  <c r="AO45" i="6"/>
  <c r="AO46" i="6"/>
  <c r="AO47" i="6"/>
  <c r="AO48" i="6"/>
  <c r="AO49" i="6"/>
  <c r="AO50" i="6"/>
  <c r="AO51" i="6"/>
  <c r="AO52" i="6"/>
  <c r="AO53" i="6"/>
  <c r="AO54" i="6"/>
  <c r="AO55" i="6"/>
  <c r="AO56" i="6"/>
  <c r="AO57" i="6"/>
  <c r="AO58" i="6"/>
  <c r="AO59" i="6"/>
  <c r="AO60" i="6"/>
  <c r="AO61" i="6"/>
  <c r="AO62" i="6"/>
  <c r="AO63" i="6"/>
  <c r="AO64" i="6"/>
  <c r="AO65" i="6"/>
  <c r="AO66" i="6"/>
  <c r="AO67" i="6"/>
  <c r="AO68" i="6"/>
  <c r="AO69" i="6"/>
  <c r="AO70" i="6"/>
  <c r="AO71" i="6"/>
  <c r="AO72" i="6"/>
  <c r="AO73" i="6"/>
  <c r="AO74" i="6"/>
  <c r="AO75" i="6"/>
  <c r="AO76" i="6"/>
  <c r="AO77" i="6"/>
  <c r="AO78" i="6"/>
  <c r="AO79" i="6"/>
  <c r="AO80" i="6"/>
  <c r="AO81" i="6"/>
  <c r="AO82" i="6"/>
  <c r="AO83" i="6"/>
  <c r="AO84" i="6"/>
  <c r="AO85" i="6"/>
  <c r="AO86" i="6"/>
  <c r="AO87" i="6"/>
  <c r="AO88" i="6"/>
  <c r="AO89" i="6"/>
  <c r="AO90" i="6"/>
  <c r="AO91" i="6"/>
  <c r="AO92" i="6"/>
  <c r="AO93" i="6"/>
  <c r="AO94" i="6"/>
  <c r="AO95" i="6"/>
  <c r="AO96" i="6"/>
  <c r="AO97" i="6"/>
  <c r="AO98" i="6"/>
  <c r="AO99" i="6"/>
  <c r="AO100" i="6"/>
  <c r="AO101" i="6"/>
  <c r="AO102" i="6"/>
  <c r="AO103" i="6"/>
  <c r="AO104" i="6"/>
  <c r="AO105" i="6"/>
  <c r="AO106" i="6"/>
  <c r="AO107" i="6"/>
  <c r="AO108" i="6"/>
  <c r="AO109" i="6"/>
  <c r="AO110" i="6"/>
  <c r="AO111" i="6"/>
  <c r="AO112" i="6"/>
  <c r="AO113" i="6"/>
  <c r="AO114" i="6"/>
  <c r="AO115" i="6"/>
  <c r="AO116" i="6"/>
  <c r="AO117" i="6"/>
  <c r="AO118" i="6"/>
  <c r="AO119" i="6"/>
  <c r="AO120" i="6"/>
  <c r="AO121" i="6"/>
  <c r="AO122" i="6"/>
  <c r="AO123" i="6"/>
  <c r="AO124" i="6"/>
  <c r="AO125" i="6"/>
  <c r="AO126" i="6"/>
  <c r="AO127" i="6"/>
  <c r="AO128" i="6"/>
  <c r="AO129" i="6"/>
  <c r="AO130" i="6"/>
  <c r="AO131" i="6"/>
  <c r="AO132" i="6"/>
  <c r="AO133" i="6"/>
  <c r="AO134" i="6"/>
  <c r="AO135" i="6"/>
  <c r="AO136" i="6"/>
  <c r="AO137" i="6"/>
  <c r="AO138" i="6"/>
  <c r="AO139" i="6"/>
  <c r="AO140" i="6"/>
  <c r="AO141" i="6"/>
  <c r="AO142" i="6"/>
  <c r="AO143" i="6"/>
  <c r="AO144" i="6"/>
  <c r="AO145" i="6"/>
  <c r="AO146" i="6"/>
  <c r="AO147" i="6"/>
  <c r="AO148" i="6"/>
  <c r="AO149" i="6"/>
  <c r="AO150" i="6"/>
  <c r="AO151" i="6"/>
  <c r="AO152" i="6"/>
  <c r="AO153" i="6"/>
  <c r="AO154" i="6"/>
  <c r="AO155" i="6"/>
  <c r="AO156" i="6"/>
  <c r="AO157" i="6"/>
  <c r="AO158" i="6"/>
  <c r="AO159" i="6"/>
  <c r="AO160" i="6"/>
  <c r="AO161" i="6"/>
  <c r="AO162" i="6"/>
  <c r="AO163" i="6"/>
  <c r="AO164" i="6"/>
  <c r="AO165" i="6"/>
  <c r="AO166" i="6"/>
  <c r="AO167" i="6"/>
  <c r="AO168" i="6"/>
  <c r="AO169" i="6"/>
  <c r="AO170" i="6"/>
  <c r="AO171" i="6"/>
  <c r="AO172" i="6"/>
  <c r="AO173" i="6"/>
  <c r="AO174" i="6"/>
  <c r="AO175" i="6"/>
  <c r="AO176" i="6"/>
  <c r="AO177" i="6"/>
  <c r="AO178" i="6"/>
  <c r="AO179" i="6"/>
  <c r="AO180" i="6"/>
  <c r="AO181" i="6"/>
  <c r="AO182" i="6"/>
  <c r="AO183" i="6"/>
  <c r="AO184" i="6"/>
  <c r="AO185" i="6"/>
  <c r="AO186" i="6"/>
  <c r="AO187" i="6"/>
  <c r="AO188" i="6"/>
  <c r="AO189" i="6"/>
  <c r="AO190" i="6"/>
  <c r="AO191" i="6"/>
  <c r="AO192" i="6"/>
  <c r="AO193" i="6"/>
  <c r="AO194" i="6"/>
  <c r="AO195" i="6"/>
  <c r="AO196" i="6"/>
  <c r="AO197" i="6"/>
  <c r="AO198" i="6"/>
  <c r="AO199" i="6"/>
  <c r="AO200" i="6"/>
  <c r="AO201" i="6"/>
  <c r="AO202" i="6"/>
  <c r="AO203" i="6"/>
  <c r="AO204" i="6"/>
  <c r="AO205" i="6"/>
  <c r="AO206" i="6"/>
  <c r="AO207" i="6"/>
  <c r="AO208" i="6"/>
  <c r="AO209" i="6"/>
  <c r="AO210" i="6"/>
  <c r="AO211" i="6"/>
  <c r="AO212" i="6"/>
  <c r="AO213" i="6"/>
  <c r="AO214" i="6"/>
  <c r="AO215" i="6"/>
  <c r="AO216" i="6"/>
  <c r="AO217" i="6"/>
  <c r="AO218" i="6"/>
  <c r="AO219" i="6"/>
  <c r="AO220" i="6"/>
  <c r="AO221" i="6"/>
  <c r="AO222" i="6"/>
  <c r="AO223" i="6"/>
  <c r="AO224" i="6"/>
  <c r="AO225" i="6"/>
  <c r="AO226" i="6"/>
  <c r="AO227" i="6"/>
  <c r="AO228" i="6"/>
  <c r="AO229" i="6"/>
  <c r="AO230" i="6"/>
  <c r="AO231" i="6"/>
  <c r="AO232" i="6"/>
  <c r="AO233" i="6"/>
  <c r="AO234" i="6"/>
  <c r="AO235" i="6"/>
  <c r="AO236" i="6"/>
  <c r="AO237" i="6"/>
  <c r="AO238" i="6"/>
  <c r="AO239" i="6"/>
  <c r="AO240" i="6"/>
  <c r="AO241" i="6"/>
  <c r="AO242" i="6"/>
  <c r="AO243" i="6"/>
  <c r="AO244" i="6"/>
  <c r="AO245" i="6"/>
  <c r="AO246" i="6"/>
  <c r="AO247" i="6"/>
  <c r="AO248" i="6"/>
  <c r="AO249" i="6"/>
  <c r="AO250" i="6"/>
  <c r="AO251" i="6"/>
  <c r="AO252" i="6"/>
  <c r="AO253" i="6"/>
  <c r="AO254" i="6"/>
  <c r="AO255" i="6"/>
  <c r="AO256" i="6"/>
  <c r="AO257" i="6"/>
  <c r="AO258" i="6"/>
  <c r="AO259" i="6"/>
  <c r="AO260" i="6"/>
  <c r="AO261" i="6"/>
  <c r="AO262" i="6"/>
  <c r="AO263" i="6"/>
  <c r="AO264" i="6"/>
  <c r="AO265" i="6"/>
  <c r="AO266" i="6"/>
  <c r="AO267" i="6"/>
  <c r="AO268" i="6"/>
  <c r="AO269" i="6"/>
  <c r="AO270" i="6"/>
  <c r="AO271" i="6"/>
  <c r="AO272" i="6"/>
  <c r="AO273" i="6"/>
  <c r="AO274" i="6"/>
  <c r="AO275" i="6"/>
  <c r="AO276" i="6"/>
  <c r="AO277" i="6"/>
  <c r="AO278" i="6"/>
  <c r="AO279" i="6"/>
  <c r="AO280" i="6"/>
  <c r="AO281" i="6"/>
  <c r="AO282" i="6"/>
  <c r="AO283" i="6"/>
  <c r="AO284" i="6"/>
  <c r="AO285" i="6"/>
  <c r="AO286" i="6"/>
  <c r="AO287" i="6"/>
  <c r="AO288" i="6"/>
  <c r="AO289" i="6"/>
  <c r="AO290" i="6"/>
  <c r="AO291" i="6"/>
  <c r="AO292" i="6"/>
  <c r="AO293" i="6"/>
  <c r="AO294" i="6"/>
  <c r="AO295" i="6"/>
  <c r="AO296" i="6"/>
  <c r="AO297" i="6"/>
  <c r="AO298" i="6"/>
  <c r="AO299" i="6"/>
  <c r="AO300" i="6"/>
  <c r="AO301" i="6"/>
  <c r="AO302" i="6"/>
  <c r="AO303" i="6"/>
  <c r="AO304" i="6"/>
  <c r="AO305" i="6"/>
  <c r="AO306" i="6"/>
  <c r="AO307" i="6"/>
  <c r="AO308" i="6"/>
  <c r="AO309" i="6"/>
  <c r="AO310" i="6"/>
  <c r="AO311" i="6"/>
  <c r="AO312" i="6"/>
  <c r="AO313" i="6"/>
  <c r="AO314" i="6"/>
  <c r="AO315" i="6"/>
  <c r="AO316" i="6"/>
  <c r="AO317" i="6"/>
  <c r="AO318" i="6"/>
  <c r="AO319" i="6"/>
  <c r="AO320" i="6"/>
  <c r="AO321" i="6"/>
  <c r="AO322" i="6"/>
  <c r="AO323" i="6"/>
  <c r="AO324" i="6"/>
  <c r="AO325" i="6"/>
  <c r="AO326" i="6"/>
  <c r="AO327" i="6"/>
  <c r="AO328" i="6"/>
  <c r="AO329" i="6"/>
  <c r="AO330" i="6"/>
  <c r="AO331" i="6"/>
  <c r="AO332" i="6"/>
  <c r="AO333" i="6"/>
  <c r="AO334" i="6"/>
  <c r="AO335" i="6"/>
  <c r="AO336" i="6"/>
  <c r="AO337" i="6"/>
  <c r="AO338" i="6"/>
  <c r="AO339" i="6"/>
  <c r="AO340" i="6"/>
  <c r="AO341" i="6"/>
  <c r="AO342" i="6"/>
  <c r="AO343" i="6"/>
  <c r="AO344" i="6"/>
  <c r="AO345" i="6"/>
  <c r="AO346" i="6"/>
  <c r="AO347" i="6"/>
  <c r="AO348" i="6"/>
  <c r="AO349" i="6"/>
  <c r="AO350" i="6"/>
  <c r="AO351" i="6"/>
  <c r="AO352" i="6"/>
  <c r="AO353" i="6"/>
  <c r="AO354" i="6"/>
  <c r="AO355" i="6"/>
  <c r="AO356" i="6"/>
  <c r="AO357" i="6"/>
  <c r="AO358" i="6"/>
  <c r="AO359" i="6"/>
  <c r="AO360" i="6"/>
  <c r="AO361" i="6"/>
  <c r="AO362" i="6"/>
  <c r="AO363" i="6"/>
  <c r="AO364" i="6"/>
  <c r="AO365" i="6"/>
  <c r="AO366" i="6"/>
  <c r="AO7" i="6"/>
  <c r="AM8" i="6"/>
  <c r="AM9" i="6"/>
  <c r="AM10" i="6"/>
  <c r="AM11" i="6"/>
  <c r="AM12" i="6"/>
  <c r="AM13" i="6"/>
  <c r="AM14" i="6"/>
  <c r="AM15" i="6"/>
  <c r="AM16" i="6"/>
  <c r="AM17" i="6"/>
  <c r="AM18" i="6"/>
  <c r="AM19" i="6"/>
  <c r="AM20" i="6"/>
  <c r="AM21" i="6"/>
  <c r="AM22" i="6"/>
  <c r="AM23" i="6"/>
  <c r="AM24" i="6"/>
  <c r="AM26" i="6"/>
  <c r="AM27" i="6"/>
  <c r="AM28" i="6"/>
  <c r="AM29" i="6"/>
  <c r="AM30" i="6"/>
  <c r="AM34" i="6"/>
  <c r="AM35" i="6"/>
  <c r="AM36" i="6"/>
  <c r="AM37" i="6"/>
  <c r="AM38" i="6"/>
  <c r="AM39" i="6"/>
  <c r="AM40" i="6"/>
  <c r="AM41" i="6"/>
  <c r="AM42" i="6"/>
  <c r="AM43" i="6"/>
  <c r="AM44" i="6"/>
  <c r="AM45" i="6"/>
  <c r="AM46" i="6"/>
  <c r="AM47" i="6"/>
  <c r="AM48" i="6"/>
  <c r="AM49" i="6"/>
  <c r="AM50" i="6"/>
  <c r="AM51" i="6"/>
  <c r="AM52" i="6"/>
  <c r="AM53" i="6"/>
  <c r="AM54" i="6"/>
  <c r="AM55" i="6"/>
  <c r="AM56" i="6"/>
  <c r="AM57" i="6"/>
  <c r="AM58" i="6"/>
  <c r="AM59" i="6"/>
  <c r="AM60" i="6"/>
  <c r="AM61" i="6"/>
  <c r="AM62" i="6"/>
  <c r="AM63" i="6"/>
  <c r="AM64" i="6"/>
  <c r="AM65" i="6"/>
  <c r="AM66" i="6"/>
  <c r="AM67" i="6"/>
  <c r="AM68" i="6"/>
  <c r="AM69" i="6"/>
  <c r="AM70" i="6"/>
  <c r="AM71" i="6"/>
  <c r="AM72" i="6"/>
  <c r="AM73" i="6"/>
  <c r="AM74" i="6"/>
  <c r="AM75" i="6"/>
  <c r="AM76" i="6"/>
  <c r="AM77" i="6"/>
  <c r="AM78" i="6"/>
  <c r="AM79" i="6"/>
  <c r="AM80" i="6"/>
  <c r="AM81" i="6"/>
  <c r="AM82" i="6"/>
  <c r="AM83" i="6"/>
  <c r="AM84" i="6"/>
  <c r="AM85" i="6"/>
  <c r="AM86" i="6"/>
  <c r="AM87" i="6"/>
  <c r="AM88" i="6"/>
  <c r="AM89" i="6"/>
  <c r="AM90" i="6"/>
  <c r="AM91" i="6"/>
  <c r="AM92" i="6"/>
  <c r="AM93" i="6"/>
  <c r="AM94" i="6"/>
  <c r="AM95" i="6"/>
  <c r="AM96" i="6"/>
  <c r="AM97" i="6"/>
  <c r="AM98" i="6"/>
  <c r="AM99" i="6"/>
  <c r="AM100" i="6"/>
  <c r="AM101" i="6"/>
  <c r="AM102" i="6"/>
  <c r="AM103" i="6"/>
  <c r="AM104" i="6"/>
  <c r="AM105" i="6"/>
  <c r="AM106" i="6"/>
  <c r="AM107" i="6"/>
  <c r="AM108" i="6"/>
  <c r="AM109" i="6"/>
  <c r="AM110" i="6"/>
  <c r="AM111" i="6"/>
  <c r="AM112" i="6"/>
  <c r="AM113" i="6"/>
  <c r="AM114" i="6"/>
  <c r="AM115" i="6"/>
  <c r="AM116" i="6"/>
  <c r="AM117" i="6"/>
  <c r="AM118" i="6"/>
  <c r="AM119" i="6"/>
  <c r="AM120" i="6"/>
  <c r="AM121" i="6"/>
  <c r="AM122" i="6"/>
  <c r="AM123" i="6"/>
  <c r="AM124" i="6"/>
  <c r="AM125" i="6"/>
  <c r="AM126" i="6"/>
  <c r="AM127" i="6"/>
  <c r="AM128" i="6"/>
  <c r="AM129" i="6"/>
  <c r="AM130" i="6"/>
  <c r="AM131" i="6"/>
  <c r="AM132" i="6"/>
  <c r="AM133" i="6"/>
  <c r="AM134" i="6"/>
  <c r="AM135" i="6"/>
  <c r="AM136" i="6"/>
  <c r="AM137" i="6"/>
  <c r="AM138" i="6"/>
  <c r="AM139" i="6"/>
  <c r="AM140" i="6"/>
  <c r="AM141" i="6"/>
  <c r="AM142" i="6"/>
  <c r="AM143" i="6"/>
  <c r="AM144" i="6"/>
  <c r="AM145" i="6"/>
  <c r="AM146" i="6"/>
  <c r="AM147" i="6"/>
  <c r="AM148" i="6"/>
  <c r="AM149" i="6"/>
  <c r="AM150" i="6"/>
  <c r="AM151" i="6"/>
  <c r="AM152" i="6"/>
  <c r="AM153" i="6"/>
  <c r="AM154" i="6"/>
  <c r="AM155" i="6"/>
  <c r="AM156" i="6"/>
  <c r="AM157" i="6"/>
  <c r="AM158" i="6"/>
  <c r="AM159" i="6"/>
  <c r="AM160" i="6"/>
  <c r="AM161" i="6"/>
  <c r="AM162" i="6"/>
  <c r="AM163" i="6"/>
  <c r="AM164" i="6"/>
  <c r="AM165" i="6"/>
  <c r="AM166" i="6"/>
  <c r="AM167" i="6"/>
  <c r="AM168" i="6"/>
  <c r="AM169" i="6"/>
  <c r="AM170" i="6"/>
  <c r="AM171" i="6"/>
  <c r="AM172" i="6"/>
  <c r="AM173" i="6"/>
  <c r="AM174" i="6"/>
  <c r="AM175" i="6"/>
  <c r="AM176" i="6"/>
  <c r="AM177" i="6"/>
  <c r="AM178" i="6"/>
  <c r="AM179" i="6"/>
  <c r="AM180" i="6"/>
  <c r="AM181" i="6"/>
  <c r="AM182" i="6"/>
  <c r="AM183" i="6"/>
  <c r="AM184" i="6"/>
  <c r="AM185" i="6"/>
  <c r="AM186" i="6"/>
  <c r="AM187" i="6"/>
  <c r="AM188" i="6"/>
  <c r="AM189" i="6"/>
  <c r="AM190" i="6"/>
  <c r="AM191" i="6"/>
  <c r="AM192" i="6"/>
  <c r="AM193" i="6"/>
  <c r="AM194" i="6"/>
  <c r="AM195" i="6"/>
  <c r="AM196" i="6"/>
  <c r="AM197" i="6"/>
  <c r="AM198" i="6"/>
  <c r="AM199" i="6"/>
  <c r="AM200" i="6"/>
  <c r="AM201" i="6"/>
  <c r="AM202" i="6"/>
  <c r="AM203" i="6"/>
  <c r="AM204" i="6"/>
  <c r="AM205" i="6"/>
  <c r="AM206" i="6"/>
  <c r="AM207" i="6"/>
  <c r="AM208" i="6"/>
  <c r="AM209" i="6"/>
  <c r="AM210" i="6"/>
  <c r="AM211" i="6"/>
  <c r="AM212" i="6"/>
  <c r="AM213" i="6"/>
  <c r="AM214" i="6"/>
  <c r="AM215" i="6"/>
  <c r="AM216" i="6"/>
  <c r="AM217" i="6"/>
  <c r="AM218" i="6"/>
  <c r="AM219" i="6"/>
  <c r="AM220" i="6"/>
  <c r="AM221" i="6"/>
  <c r="AM222" i="6"/>
  <c r="AM223" i="6"/>
  <c r="AM224" i="6"/>
  <c r="AM225" i="6"/>
  <c r="AM226" i="6"/>
  <c r="AM227" i="6"/>
  <c r="AM228" i="6"/>
  <c r="AM229" i="6"/>
  <c r="AM230" i="6"/>
  <c r="AM231" i="6"/>
  <c r="AM232" i="6"/>
  <c r="AM233" i="6"/>
  <c r="AM234" i="6"/>
  <c r="AM235" i="6"/>
  <c r="AM236" i="6"/>
  <c r="AM237" i="6"/>
  <c r="AM238" i="6"/>
  <c r="AM239" i="6"/>
  <c r="AM240" i="6"/>
  <c r="AM241" i="6"/>
  <c r="AM242" i="6"/>
  <c r="AM243" i="6"/>
  <c r="AM244" i="6"/>
  <c r="AM245" i="6"/>
  <c r="AM246" i="6"/>
  <c r="AM247" i="6"/>
  <c r="AM248" i="6"/>
  <c r="AM249" i="6"/>
  <c r="AM250" i="6"/>
  <c r="AM251" i="6"/>
  <c r="AM252" i="6"/>
  <c r="AM253" i="6"/>
  <c r="AM254" i="6"/>
  <c r="AM255" i="6"/>
  <c r="AM256" i="6"/>
  <c r="AM257" i="6"/>
  <c r="AM258" i="6"/>
  <c r="AM259" i="6"/>
  <c r="AM260" i="6"/>
  <c r="AM261" i="6"/>
  <c r="AM262" i="6"/>
  <c r="AM263" i="6"/>
  <c r="AM264" i="6"/>
  <c r="AM265" i="6"/>
  <c r="AM266" i="6"/>
  <c r="AM267" i="6"/>
  <c r="AM268" i="6"/>
  <c r="AM269" i="6"/>
  <c r="AM270" i="6"/>
  <c r="AM271" i="6"/>
  <c r="AM272" i="6"/>
  <c r="AM273" i="6"/>
  <c r="AM274" i="6"/>
  <c r="AM275" i="6"/>
  <c r="AM276" i="6"/>
  <c r="AM277" i="6"/>
  <c r="AM278" i="6"/>
  <c r="AM279" i="6"/>
  <c r="AM280" i="6"/>
  <c r="AM281" i="6"/>
  <c r="AM282" i="6"/>
  <c r="AM283" i="6"/>
  <c r="AM284" i="6"/>
  <c r="AM285" i="6"/>
  <c r="AM286" i="6"/>
  <c r="AM287" i="6"/>
  <c r="AM288" i="6"/>
  <c r="AM289" i="6"/>
  <c r="AM290" i="6"/>
  <c r="AM291" i="6"/>
  <c r="AM292" i="6"/>
  <c r="AM293" i="6"/>
  <c r="AM294" i="6"/>
  <c r="AM295" i="6"/>
  <c r="AM296" i="6"/>
  <c r="AM297" i="6"/>
  <c r="AM298" i="6"/>
  <c r="AM299" i="6"/>
  <c r="AM300" i="6"/>
  <c r="AM301" i="6"/>
  <c r="AM302" i="6"/>
  <c r="AM303" i="6"/>
  <c r="AM304" i="6"/>
  <c r="AM305" i="6"/>
  <c r="AM306" i="6"/>
  <c r="AM307" i="6"/>
  <c r="AM308" i="6"/>
  <c r="AM309" i="6"/>
  <c r="AM310" i="6"/>
  <c r="AM311" i="6"/>
  <c r="AM312" i="6"/>
  <c r="AM313" i="6"/>
  <c r="AM314" i="6"/>
  <c r="AM315" i="6"/>
  <c r="AM316" i="6"/>
  <c r="AM317" i="6"/>
  <c r="AM318" i="6"/>
  <c r="AM319" i="6"/>
  <c r="AM320" i="6"/>
  <c r="AM321" i="6"/>
  <c r="AM322" i="6"/>
  <c r="AM323" i="6"/>
  <c r="AM324" i="6"/>
  <c r="AM325" i="6"/>
  <c r="AM326" i="6"/>
  <c r="AM327" i="6"/>
  <c r="AM328" i="6"/>
  <c r="AM329" i="6"/>
  <c r="AM330" i="6"/>
  <c r="AM331" i="6"/>
  <c r="AM332" i="6"/>
  <c r="AM333" i="6"/>
  <c r="AM334" i="6"/>
  <c r="AM335" i="6"/>
  <c r="AM336" i="6"/>
  <c r="AM337" i="6"/>
  <c r="AM338" i="6"/>
  <c r="AM339" i="6"/>
  <c r="AM340" i="6"/>
  <c r="AM341" i="6"/>
  <c r="AM342" i="6"/>
  <c r="AM343" i="6"/>
  <c r="AM344" i="6"/>
  <c r="AM345" i="6"/>
  <c r="AM346" i="6"/>
  <c r="AM347" i="6"/>
  <c r="AM348" i="6"/>
  <c r="AM349" i="6"/>
  <c r="AM350" i="6"/>
  <c r="AM351" i="6"/>
  <c r="AM352" i="6"/>
  <c r="AM353" i="6"/>
  <c r="AM354" i="6"/>
  <c r="AM355" i="6"/>
  <c r="AM356" i="6"/>
  <c r="AM357" i="6"/>
  <c r="AM358" i="6"/>
  <c r="AM359" i="6"/>
  <c r="AM360" i="6"/>
  <c r="AM361" i="6"/>
  <c r="AM362" i="6"/>
  <c r="AM363" i="6"/>
  <c r="AM364" i="6"/>
  <c r="AM365" i="6"/>
  <c r="AM366" i="6"/>
  <c r="AM7" i="6"/>
  <c r="AK8" i="6"/>
  <c r="AK9" i="6"/>
  <c r="AK10" i="6"/>
  <c r="AK11" i="6"/>
  <c r="AX11" i="6" s="1"/>
  <c r="AY11" i="6" s="1"/>
  <c r="AK12" i="6"/>
  <c r="AK13" i="6"/>
  <c r="AK14" i="6"/>
  <c r="AK15" i="6"/>
  <c r="AX15" i="6" s="1"/>
  <c r="AY15" i="6" s="1"/>
  <c r="AK16" i="6"/>
  <c r="AK17" i="6"/>
  <c r="AK18" i="6"/>
  <c r="AK19" i="6"/>
  <c r="AX19" i="6" s="1"/>
  <c r="AY19" i="6" s="1"/>
  <c r="AK20" i="6"/>
  <c r="AK21" i="6"/>
  <c r="AK22" i="6"/>
  <c r="AK23" i="6"/>
  <c r="AX23" i="6" s="1"/>
  <c r="AY23" i="6" s="1"/>
  <c r="AK24" i="6"/>
  <c r="AK26" i="6"/>
  <c r="AK27" i="6"/>
  <c r="AX27" i="6" s="1"/>
  <c r="AY27" i="6" s="1"/>
  <c r="BB27" i="6" s="1"/>
  <c r="BC27" i="6" s="1"/>
  <c r="AK28" i="6"/>
  <c r="AK29" i="6"/>
  <c r="AK30" i="6"/>
  <c r="AX31" i="6"/>
  <c r="AY31" i="6" s="1"/>
  <c r="AK34" i="6"/>
  <c r="AK35" i="6"/>
  <c r="AX35" i="6" s="1"/>
  <c r="AY35" i="6" s="1"/>
  <c r="AK36" i="6"/>
  <c r="AK37" i="6"/>
  <c r="AK38" i="6"/>
  <c r="AK39" i="6"/>
  <c r="AX39" i="6" s="1"/>
  <c r="AY39" i="6" s="1"/>
  <c r="AK40" i="6"/>
  <c r="AK41" i="6"/>
  <c r="AK42" i="6"/>
  <c r="AK43" i="6"/>
  <c r="AX43" i="6" s="1"/>
  <c r="AY43" i="6" s="1"/>
  <c r="AK44" i="6"/>
  <c r="AK45" i="6"/>
  <c r="AK46" i="6"/>
  <c r="AK47" i="6"/>
  <c r="AX47" i="6" s="1"/>
  <c r="AY47" i="6" s="1"/>
  <c r="AK48" i="6"/>
  <c r="AK49" i="6"/>
  <c r="AK50" i="6"/>
  <c r="AK51" i="6"/>
  <c r="AX51" i="6" s="1"/>
  <c r="AY51" i="6" s="1"/>
  <c r="AK52" i="6"/>
  <c r="AK53" i="6"/>
  <c r="AK54" i="6"/>
  <c r="AK55" i="6"/>
  <c r="AX55" i="6" s="1"/>
  <c r="AY55" i="6" s="1"/>
  <c r="AK56" i="6"/>
  <c r="AK57" i="6"/>
  <c r="AK58" i="6"/>
  <c r="AK59" i="6"/>
  <c r="AX59" i="6" s="1"/>
  <c r="AY59" i="6" s="1"/>
  <c r="AK60" i="6"/>
  <c r="AK61" i="6"/>
  <c r="AK62" i="6"/>
  <c r="AK63" i="6"/>
  <c r="AX63" i="6" s="1"/>
  <c r="AY63" i="6" s="1"/>
  <c r="AK64" i="6"/>
  <c r="AK65" i="6"/>
  <c r="AK66" i="6"/>
  <c r="AK67" i="6"/>
  <c r="AX67" i="6" s="1"/>
  <c r="AY67" i="6" s="1"/>
  <c r="AK68" i="6"/>
  <c r="AK69" i="6"/>
  <c r="AK70" i="6"/>
  <c r="AK71" i="6"/>
  <c r="AX71" i="6" s="1"/>
  <c r="AY71" i="6" s="1"/>
  <c r="AK72" i="6"/>
  <c r="AK73" i="6"/>
  <c r="AK74" i="6"/>
  <c r="AK75" i="6"/>
  <c r="AX75" i="6" s="1"/>
  <c r="AY75" i="6" s="1"/>
  <c r="AK76" i="6"/>
  <c r="AK77" i="6"/>
  <c r="AK78" i="6"/>
  <c r="AK79" i="6"/>
  <c r="AX79" i="6" s="1"/>
  <c r="AY79" i="6" s="1"/>
  <c r="AK80" i="6"/>
  <c r="AK81" i="6"/>
  <c r="AK82" i="6"/>
  <c r="AK83" i="6"/>
  <c r="AX83" i="6" s="1"/>
  <c r="AY83" i="6" s="1"/>
  <c r="AK84" i="6"/>
  <c r="AK85" i="6"/>
  <c r="AK86" i="6"/>
  <c r="AK87" i="6"/>
  <c r="AX87" i="6" s="1"/>
  <c r="AY87" i="6" s="1"/>
  <c r="AK88" i="6"/>
  <c r="AK89" i="6"/>
  <c r="AK90" i="6"/>
  <c r="AK91" i="6"/>
  <c r="AK92" i="6"/>
  <c r="AK93" i="6"/>
  <c r="AK94" i="6"/>
  <c r="AK95" i="6"/>
  <c r="AX95" i="6" s="1"/>
  <c r="AY95" i="6" s="1"/>
  <c r="AK96" i="6"/>
  <c r="AK97" i="6"/>
  <c r="AK98" i="6"/>
  <c r="AK99" i="6"/>
  <c r="AX99" i="6" s="1"/>
  <c r="AY99" i="6" s="1"/>
  <c r="AK100" i="6"/>
  <c r="AK101" i="6"/>
  <c r="AK102" i="6"/>
  <c r="AK103" i="6"/>
  <c r="AX103" i="6" s="1"/>
  <c r="AY103" i="6" s="1"/>
  <c r="AK104" i="6"/>
  <c r="AK105" i="6"/>
  <c r="AK106" i="6"/>
  <c r="AK107" i="6"/>
  <c r="AX107" i="6" s="1"/>
  <c r="AY107" i="6" s="1"/>
  <c r="AK108" i="6"/>
  <c r="AK109" i="6"/>
  <c r="AK110" i="6"/>
  <c r="AK111" i="6"/>
  <c r="AX111" i="6" s="1"/>
  <c r="AY111" i="6" s="1"/>
  <c r="AK112" i="6"/>
  <c r="AK113" i="6"/>
  <c r="AK114" i="6"/>
  <c r="AK115" i="6"/>
  <c r="AX115" i="6" s="1"/>
  <c r="AY115" i="6" s="1"/>
  <c r="AK116" i="6"/>
  <c r="AK117" i="6"/>
  <c r="AK118" i="6"/>
  <c r="AK119" i="6"/>
  <c r="AX119" i="6" s="1"/>
  <c r="AY119" i="6" s="1"/>
  <c r="AK120" i="6"/>
  <c r="AK121" i="6"/>
  <c r="AK122" i="6"/>
  <c r="AK123" i="6"/>
  <c r="AX123" i="6" s="1"/>
  <c r="AY123" i="6" s="1"/>
  <c r="AK124" i="6"/>
  <c r="AK125" i="6"/>
  <c r="AK126" i="6"/>
  <c r="AK127" i="6"/>
  <c r="AX127" i="6" s="1"/>
  <c r="AY127" i="6" s="1"/>
  <c r="AK128" i="6"/>
  <c r="AK129" i="6"/>
  <c r="AK130" i="6"/>
  <c r="AK131" i="6"/>
  <c r="AX131" i="6" s="1"/>
  <c r="AY131" i="6" s="1"/>
  <c r="AK132" i="6"/>
  <c r="AK133" i="6"/>
  <c r="AK134" i="6"/>
  <c r="AK135" i="6"/>
  <c r="AX135" i="6" s="1"/>
  <c r="AY135" i="6" s="1"/>
  <c r="AK136" i="6"/>
  <c r="AK137" i="6"/>
  <c r="AK138" i="6"/>
  <c r="AK139" i="6"/>
  <c r="AX139" i="6" s="1"/>
  <c r="AY139" i="6" s="1"/>
  <c r="AK140" i="6"/>
  <c r="AK141" i="6"/>
  <c r="AK142" i="6"/>
  <c r="AK143" i="6"/>
  <c r="AX143" i="6" s="1"/>
  <c r="AY143" i="6" s="1"/>
  <c r="AK144" i="6"/>
  <c r="AK145" i="6"/>
  <c r="AK146" i="6"/>
  <c r="AK147" i="6"/>
  <c r="AX147" i="6" s="1"/>
  <c r="AY147" i="6" s="1"/>
  <c r="AK148" i="6"/>
  <c r="AK149" i="6"/>
  <c r="AK150" i="6"/>
  <c r="AK151" i="6"/>
  <c r="AX151" i="6" s="1"/>
  <c r="AY151" i="6" s="1"/>
  <c r="AK152" i="6"/>
  <c r="AK153" i="6"/>
  <c r="AK154" i="6"/>
  <c r="AK155" i="6"/>
  <c r="AX155" i="6" s="1"/>
  <c r="AY155" i="6" s="1"/>
  <c r="AK156" i="6"/>
  <c r="AK157" i="6"/>
  <c r="AK158" i="6"/>
  <c r="AK159" i="6"/>
  <c r="AX159" i="6" s="1"/>
  <c r="AY159" i="6" s="1"/>
  <c r="AK160" i="6"/>
  <c r="AK161" i="6"/>
  <c r="AK162" i="6"/>
  <c r="AK163" i="6"/>
  <c r="AX163" i="6" s="1"/>
  <c r="AY163" i="6" s="1"/>
  <c r="AK164" i="6"/>
  <c r="AK165" i="6"/>
  <c r="AK166" i="6"/>
  <c r="AK167" i="6"/>
  <c r="AX167" i="6" s="1"/>
  <c r="AY167" i="6" s="1"/>
  <c r="AK168" i="6"/>
  <c r="AK169" i="6"/>
  <c r="AK170" i="6"/>
  <c r="AK171" i="6"/>
  <c r="AX171" i="6" s="1"/>
  <c r="AY171" i="6" s="1"/>
  <c r="AK172" i="6"/>
  <c r="AK173" i="6"/>
  <c r="AK174" i="6"/>
  <c r="AK175" i="6"/>
  <c r="AX175" i="6" s="1"/>
  <c r="AY175" i="6" s="1"/>
  <c r="AK176" i="6"/>
  <c r="AK177" i="6"/>
  <c r="AK178" i="6"/>
  <c r="AK179" i="6"/>
  <c r="AX179" i="6" s="1"/>
  <c r="AY179" i="6" s="1"/>
  <c r="AK180" i="6"/>
  <c r="AK181" i="6"/>
  <c r="AK182" i="6"/>
  <c r="AK183" i="6"/>
  <c r="AX183" i="6" s="1"/>
  <c r="AY183" i="6" s="1"/>
  <c r="AK184" i="6"/>
  <c r="AK185" i="6"/>
  <c r="AK186" i="6"/>
  <c r="AK187" i="6"/>
  <c r="AX187" i="6" s="1"/>
  <c r="AY187" i="6" s="1"/>
  <c r="AK188" i="6"/>
  <c r="AK189" i="6"/>
  <c r="AK190" i="6"/>
  <c r="AK191" i="6"/>
  <c r="AX191" i="6" s="1"/>
  <c r="AY191" i="6" s="1"/>
  <c r="AK192" i="6"/>
  <c r="AK193" i="6"/>
  <c r="AK194" i="6"/>
  <c r="AK195" i="6"/>
  <c r="AX195" i="6" s="1"/>
  <c r="AY195" i="6" s="1"/>
  <c r="AK196" i="6"/>
  <c r="AK197" i="6"/>
  <c r="AK198" i="6"/>
  <c r="AK199" i="6"/>
  <c r="AX199" i="6" s="1"/>
  <c r="AY199" i="6" s="1"/>
  <c r="AK200" i="6"/>
  <c r="AK201" i="6"/>
  <c r="AK202" i="6"/>
  <c r="AK203" i="6"/>
  <c r="AX203" i="6" s="1"/>
  <c r="AY203" i="6" s="1"/>
  <c r="AK204" i="6"/>
  <c r="AK205" i="6"/>
  <c r="AK206" i="6"/>
  <c r="AK207" i="6"/>
  <c r="AX207" i="6" s="1"/>
  <c r="AY207" i="6" s="1"/>
  <c r="AK208" i="6"/>
  <c r="AK209" i="6"/>
  <c r="AK210" i="6"/>
  <c r="AK211" i="6"/>
  <c r="AX211" i="6" s="1"/>
  <c r="AY211" i="6" s="1"/>
  <c r="AK212" i="6"/>
  <c r="AK213" i="6"/>
  <c r="AK214" i="6"/>
  <c r="AK215" i="6"/>
  <c r="AX215" i="6" s="1"/>
  <c r="AY215" i="6" s="1"/>
  <c r="AK216" i="6"/>
  <c r="AK217" i="6"/>
  <c r="AK218" i="6"/>
  <c r="AK219" i="6"/>
  <c r="AX219" i="6" s="1"/>
  <c r="AY219" i="6" s="1"/>
  <c r="AK220" i="6"/>
  <c r="AK221" i="6"/>
  <c r="AK222" i="6"/>
  <c r="AK223" i="6"/>
  <c r="AX223" i="6" s="1"/>
  <c r="AY223" i="6" s="1"/>
  <c r="AK224" i="6"/>
  <c r="AK225" i="6"/>
  <c r="AK226" i="6"/>
  <c r="AK227" i="6"/>
  <c r="AX227" i="6" s="1"/>
  <c r="AY227" i="6" s="1"/>
  <c r="AK228" i="6"/>
  <c r="AK229" i="6"/>
  <c r="AK230" i="6"/>
  <c r="AK231" i="6"/>
  <c r="AX231" i="6" s="1"/>
  <c r="AY231" i="6" s="1"/>
  <c r="AK232" i="6"/>
  <c r="AK233" i="6"/>
  <c r="AK234" i="6"/>
  <c r="AK235" i="6"/>
  <c r="AX235" i="6" s="1"/>
  <c r="AY235" i="6" s="1"/>
  <c r="AK236" i="6"/>
  <c r="AK237" i="6"/>
  <c r="AK238" i="6"/>
  <c r="AK239" i="6"/>
  <c r="AX239" i="6" s="1"/>
  <c r="AY239" i="6" s="1"/>
  <c r="AK240" i="6"/>
  <c r="AK241" i="6"/>
  <c r="AK242" i="6"/>
  <c r="AK243" i="6"/>
  <c r="AX243" i="6" s="1"/>
  <c r="AY243" i="6" s="1"/>
  <c r="AK244" i="6"/>
  <c r="AK245" i="6"/>
  <c r="AK246" i="6"/>
  <c r="AK247" i="6"/>
  <c r="AX247" i="6" s="1"/>
  <c r="AY247" i="6" s="1"/>
  <c r="AK248" i="6"/>
  <c r="AK249" i="6"/>
  <c r="AK250" i="6"/>
  <c r="AK251" i="6"/>
  <c r="AX251" i="6" s="1"/>
  <c r="AY251" i="6" s="1"/>
  <c r="AK252" i="6"/>
  <c r="AK253" i="6"/>
  <c r="AK254" i="6"/>
  <c r="AK255" i="6"/>
  <c r="AX255" i="6" s="1"/>
  <c r="AY255" i="6" s="1"/>
  <c r="AK256" i="6"/>
  <c r="AK257" i="6"/>
  <c r="AK258" i="6"/>
  <c r="AK259" i="6"/>
  <c r="AX259" i="6" s="1"/>
  <c r="AY259" i="6" s="1"/>
  <c r="AK260" i="6"/>
  <c r="AK261" i="6"/>
  <c r="AK262" i="6"/>
  <c r="AK263" i="6"/>
  <c r="AX263" i="6" s="1"/>
  <c r="AY263" i="6" s="1"/>
  <c r="AK264" i="6"/>
  <c r="AK265" i="6"/>
  <c r="AK266" i="6"/>
  <c r="AK267" i="6"/>
  <c r="AX267" i="6" s="1"/>
  <c r="AY267" i="6" s="1"/>
  <c r="AK268" i="6"/>
  <c r="AK269" i="6"/>
  <c r="AK270" i="6"/>
  <c r="AK271" i="6"/>
  <c r="AX271" i="6" s="1"/>
  <c r="AY271" i="6" s="1"/>
  <c r="AK272" i="6"/>
  <c r="AK273" i="6"/>
  <c r="AK274" i="6"/>
  <c r="AK275" i="6"/>
  <c r="AX275" i="6" s="1"/>
  <c r="AY275" i="6" s="1"/>
  <c r="AK276" i="6"/>
  <c r="AK277" i="6"/>
  <c r="AK278" i="6"/>
  <c r="AK279" i="6"/>
  <c r="AX279" i="6" s="1"/>
  <c r="AY279" i="6" s="1"/>
  <c r="AK280" i="6"/>
  <c r="AK281" i="6"/>
  <c r="AK282" i="6"/>
  <c r="AK283" i="6"/>
  <c r="AX283" i="6" s="1"/>
  <c r="AY283" i="6" s="1"/>
  <c r="AK284" i="6"/>
  <c r="AK285" i="6"/>
  <c r="AK286" i="6"/>
  <c r="AK287" i="6"/>
  <c r="AX287" i="6" s="1"/>
  <c r="AY287" i="6" s="1"/>
  <c r="AK288" i="6"/>
  <c r="AK289" i="6"/>
  <c r="AK290" i="6"/>
  <c r="AK291" i="6"/>
  <c r="AX291" i="6" s="1"/>
  <c r="AY291" i="6" s="1"/>
  <c r="AK292" i="6"/>
  <c r="AK293" i="6"/>
  <c r="AK294" i="6"/>
  <c r="AK295" i="6"/>
  <c r="AX295" i="6" s="1"/>
  <c r="AY295" i="6" s="1"/>
  <c r="AK296" i="6"/>
  <c r="AK297" i="6"/>
  <c r="AK298" i="6"/>
  <c r="AK299" i="6"/>
  <c r="AX299" i="6" s="1"/>
  <c r="AY299" i="6" s="1"/>
  <c r="AK300" i="6"/>
  <c r="AK301" i="6"/>
  <c r="AK302" i="6"/>
  <c r="AK303" i="6"/>
  <c r="AX303" i="6" s="1"/>
  <c r="AY303" i="6" s="1"/>
  <c r="AK304" i="6"/>
  <c r="AK305" i="6"/>
  <c r="AK306" i="6"/>
  <c r="AK307" i="6"/>
  <c r="AX307" i="6" s="1"/>
  <c r="AY307" i="6" s="1"/>
  <c r="AK308" i="6"/>
  <c r="AK309" i="6"/>
  <c r="AK310" i="6"/>
  <c r="AK311" i="6"/>
  <c r="AX311" i="6" s="1"/>
  <c r="AY311" i="6" s="1"/>
  <c r="AK312" i="6"/>
  <c r="AK313" i="6"/>
  <c r="AK314" i="6"/>
  <c r="AK315" i="6"/>
  <c r="AX315" i="6" s="1"/>
  <c r="AY315" i="6" s="1"/>
  <c r="AK316" i="6"/>
  <c r="AK317" i="6"/>
  <c r="AK318" i="6"/>
  <c r="AK319" i="6"/>
  <c r="AX319" i="6" s="1"/>
  <c r="AY319" i="6" s="1"/>
  <c r="AK320" i="6"/>
  <c r="AK321" i="6"/>
  <c r="AK322" i="6"/>
  <c r="AK323" i="6"/>
  <c r="AX323" i="6" s="1"/>
  <c r="AY323" i="6" s="1"/>
  <c r="AK324" i="6"/>
  <c r="AK325" i="6"/>
  <c r="AK326" i="6"/>
  <c r="AK327" i="6"/>
  <c r="AX327" i="6" s="1"/>
  <c r="AY327" i="6" s="1"/>
  <c r="AK328" i="6"/>
  <c r="AK329" i="6"/>
  <c r="AK330" i="6"/>
  <c r="AK331" i="6"/>
  <c r="AX331" i="6" s="1"/>
  <c r="AY331" i="6" s="1"/>
  <c r="AK332" i="6"/>
  <c r="AK333" i="6"/>
  <c r="AK334" i="6"/>
  <c r="AK335" i="6"/>
  <c r="AX335" i="6" s="1"/>
  <c r="AY335" i="6" s="1"/>
  <c r="AK336" i="6"/>
  <c r="AK337" i="6"/>
  <c r="AK338" i="6"/>
  <c r="AK339" i="6"/>
  <c r="AX339" i="6" s="1"/>
  <c r="AY339" i="6" s="1"/>
  <c r="AK340" i="6"/>
  <c r="AK341" i="6"/>
  <c r="AK342" i="6"/>
  <c r="AK343" i="6"/>
  <c r="AX343" i="6" s="1"/>
  <c r="AY343" i="6" s="1"/>
  <c r="AK344" i="6"/>
  <c r="AK345" i="6"/>
  <c r="AK346" i="6"/>
  <c r="AK347" i="6"/>
  <c r="AX347" i="6" s="1"/>
  <c r="AY347" i="6" s="1"/>
  <c r="AK348" i="6"/>
  <c r="AK349" i="6"/>
  <c r="AK350" i="6"/>
  <c r="AK351" i="6"/>
  <c r="AX351" i="6" s="1"/>
  <c r="AY351" i="6" s="1"/>
  <c r="AK352" i="6"/>
  <c r="AK353" i="6"/>
  <c r="AK354" i="6"/>
  <c r="AK355" i="6"/>
  <c r="AX355" i="6" s="1"/>
  <c r="AY355" i="6" s="1"/>
  <c r="AK356" i="6"/>
  <c r="AK357" i="6"/>
  <c r="AK358" i="6"/>
  <c r="AK359" i="6"/>
  <c r="AX359" i="6" s="1"/>
  <c r="AY359" i="6" s="1"/>
  <c r="AK360" i="6"/>
  <c r="AK361" i="6"/>
  <c r="AK362" i="6"/>
  <c r="AK363" i="6"/>
  <c r="AX363" i="6" s="1"/>
  <c r="AY363" i="6" s="1"/>
  <c r="AK364" i="6"/>
  <c r="AK365" i="6"/>
  <c r="AK366" i="6"/>
  <c r="AK7" i="6"/>
  <c r="AX7" i="6" s="1"/>
  <c r="AA13" i="6"/>
  <c r="AD13" i="6" s="1"/>
  <c r="AF13" i="6" s="1"/>
  <c r="AD14" i="6"/>
  <c r="AD15" i="6"/>
  <c r="AD16" i="6"/>
  <c r="AD17" i="6"/>
  <c r="AD18" i="6"/>
  <c r="AA19" i="6"/>
  <c r="AA25" i="6"/>
  <c r="AD25" i="6" s="1"/>
  <c r="AD26" i="6"/>
  <c r="AD27" i="6"/>
  <c r="AD28" i="6"/>
  <c r="AD29" i="6"/>
  <c r="AD30" i="6"/>
  <c r="AA31" i="6"/>
  <c r="AD31" i="6" s="1"/>
  <c r="AF31" i="6" s="1"/>
  <c r="AD32" i="6"/>
  <c r="AD33" i="6"/>
  <c r="AD34" i="6"/>
  <c r="AD35" i="6"/>
  <c r="AD36" i="6"/>
  <c r="AA37" i="6"/>
  <c r="AD37" i="6" s="1"/>
  <c r="AF37" i="6" s="1"/>
  <c r="AD38" i="6"/>
  <c r="AD39" i="6"/>
  <c r="AD40" i="6"/>
  <c r="AD41" i="6"/>
  <c r="AD42" i="6"/>
  <c r="AA43" i="6"/>
  <c r="AD43" i="6" s="1"/>
  <c r="AF43" i="6" s="1"/>
  <c r="AD44" i="6"/>
  <c r="AD45" i="6"/>
  <c r="AD46" i="6"/>
  <c r="AD47" i="6"/>
  <c r="AD48" i="6"/>
  <c r="AA49" i="6"/>
  <c r="AD49" i="6" s="1"/>
  <c r="AF49" i="6" s="1"/>
  <c r="AD50" i="6"/>
  <c r="AD51" i="6"/>
  <c r="AD52" i="6"/>
  <c r="AD53" i="6"/>
  <c r="AD54" i="6"/>
  <c r="AA55" i="6"/>
  <c r="AD55" i="6" s="1"/>
  <c r="AF55" i="6" s="1"/>
  <c r="AD56" i="6"/>
  <c r="AD57" i="6"/>
  <c r="AD58" i="6"/>
  <c r="AD59" i="6"/>
  <c r="AD60" i="6"/>
  <c r="AA61" i="6"/>
  <c r="AD61" i="6" s="1"/>
  <c r="AF61" i="6" s="1"/>
  <c r="AD62" i="6"/>
  <c r="AD63" i="6"/>
  <c r="AD64" i="6"/>
  <c r="AD65" i="6"/>
  <c r="AD66" i="6"/>
  <c r="AA67" i="6"/>
  <c r="AD67" i="6" s="1"/>
  <c r="AF67" i="6" s="1"/>
  <c r="AD68" i="6"/>
  <c r="AD69" i="6"/>
  <c r="AD70" i="6"/>
  <c r="AD71" i="6"/>
  <c r="AD72" i="6"/>
  <c r="AA73" i="6"/>
  <c r="AD73" i="6" s="1"/>
  <c r="AF73" i="6" s="1"/>
  <c r="AD74" i="6"/>
  <c r="AD75" i="6"/>
  <c r="AD76" i="6"/>
  <c r="AD77" i="6"/>
  <c r="AD78" i="6"/>
  <c r="AA79" i="6"/>
  <c r="AD79" i="6" s="1"/>
  <c r="AF79" i="6" s="1"/>
  <c r="AD80" i="6"/>
  <c r="AD81" i="6"/>
  <c r="AD82" i="6"/>
  <c r="AD83" i="6"/>
  <c r="AD84" i="6"/>
  <c r="AA85" i="6"/>
  <c r="AD85" i="6" s="1"/>
  <c r="AF85" i="6" s="1"/>
  <c r="AD86" i="6"/>
  <c r="AD87" i="6"/>
  <c r="AD88" i="6"/>
  <c r="AD89" i="6"/>
  <c r="AD90" i="6"/>
  <c r="AA91" i="6"/>
  <c r="AD91" i="6" s="1"/>
  <c r="AF91" i="6" s="1"/>
  <c r="AD92" i="6"/>
  <c r="AD93" i="6"/>
  <c r="AD94" i="6"/>
  <c r="AD95" i="6"/>
  <c r="AD96" i="6"/>
  <c r="AA97" i="6"/>
  <c r="AD97" i="6" s="1"/>
  <c r="AF97" i="6" s="1"/>
  <c r="AD98" i="6"/>
  <c r="AD99" i="6"/>
  <c r="AD100" i="6"/>
  <c r="AD101" i="6"/>
  <c r="AD102" i="6"/>
  <c r="AA103" i="6"/>
  <c r="AD103" i="6" s="1"/>
  <c r="AF103" i="6" s="1"/>
  <c r="AD104" i="6"/>
  <c r="AD105" i="6"/>
  <c r="AD106" i="6"/>
  <c r="AD107" i="6"/>
  <c r="AD108" i="6"/>
  <c r="AA109" i="6"/>
  <c r="AD109" i="6" s="1"/>
  <c r="AF109" i="6" s="1"/>
  <c r="AD110" i="6"/>
  <c r="AD111" i="6"/>
  <c r="AD112" i="6"/>
  <c r="AD113" i="6"/>
  <c r="AD114" i="6"/>
  <c r="AA115" i="6"/>
  <c r="AD115" i="6" s="1"/>
  <c r="AF115" i="6" s="1"/>
  <c r="AD116" i="6"/>
  <c r="AD117" i="6"/>
  <c r="AD118" i="6"/>
  <c r="AD119" i="6"/>
  <c r="AD120" i="6"/>
  <c r="AA121" i="6"/>
  <c r="AD121" i="6" s="1"/>
  <c r="AF121" i="6" s="1"/>
  <c r="AD122" i="6"/>
  <c r="AD123" i="6"/>
  <c r="AD124" i="6"/>
  <c r="AD125" i="6"/>
  <c r="AD126" i="6"/>
  <c r="AA127" i="6"/>
  <c r="AD127" i="6" s="1"/>
  <c r="AF127" i="6" s="1"/>
  <c r="AD128" i="6"/>
  <c r="AD129" i="6"/>
  <c r="AD130" i="6"/>
  <c r="AD131" i="6"/>
  <c r="AD132" i="6"/>
  <c r="AA133" i="6"/>
  <c r="AD133" i="6" s="1"/>
  <c r="AF133" i="6" s="1"/>
  <c r="AD134" i="6"/>
  <c r="AD135" i="6"/>
  <c r="AD136" i="6"/>
  <c r="AD137" i="6"/>
  <c r="AD138" i="6"/>
  <c r="AA139" i="6"/>
  <c r="AD139" i="6" s="1"/>
  <c r="AF139" i="6" s="1"/>
  <c r="AD140" i="6"/>
  <c r="AD141" i="6"/>
  <c r="AD142" i="6"/>
  <c r="AD143" i="6"/>
  <c r="AD144" i="6"/>
  <c r="AA145" i="6"/>
  <c r="AD145" i="6" s="1"/>
  <c r="AF145" i="6" s="1"/>
  <c r="AD146" i="6"/>
  <c r="AD147" i="6"/>
  <c r="AD148" i="6"/>
  <c r="AD149" i="6"/>
  <c r="AD150" i="6"/>
  <c r="AA151" i="6"/>
  <c r="AD151" i="6" s="1"/>
  <c r="AF151" i="6" s="1"/>
  <c r="AD152" i="6"/>
  <c r="AD153" i="6"/>
  <c r="AD154" i="6"/>
  <c r="AD155" i="6"/>
  <c r="AD156" i="6"/>
  <c r="AA157" i="6"/>
  <c r="AD157" i="6" s="1"/>
  <c r="AF157" i="6" s="1"/>
  <c r="AD158" i="6"/>
  <c r="AD159" i="6"/>
  <c r="AD160" i="6"/>
  <c r="AD161" i="6"/>
  <c r="AD162" i="6"/>
  <c r="AA163" i="6"/>
  <c r="AD163" i="6" s="1"/>
  <c r="AF163" i="6" s="1"/>
  <c r="AD164" i="6"/>
  <c r="AD165" i="6"/>
  <c r="AD166" i="6"/>
  <c r="AD167" i="6"/>
  <c r="AD168" i="6"/>
  <c r="AA169" i="6"/>
  <c r="AD169" i="6" s="1"/>
  <c r="AF169" i="6" s="1"/>
  <c r="AD170" i="6"/>
  <c r="AD171" i="6"/>
  <c r="AD172" i="6"/>
  <c r="AD173" i="6"/>
  <c r="AD174" i="6"/>
  <c r="AA175" i="6"/>
  <c r="AD175" i="6" s="1"/>
  <c r="AF175" i="6" s="1"/>
  <c r="AD176" i="6"/>
  <c r="AD177" i="6"/>
  <c r="AD178" i="6"/>
  <c r="AD179" i="6"/>
  <c r="AD180" i="6"/>
  <c r="AA181" i="6"/>
  <c r="AD181" i="6" s="1"/>
  <c r="AF181" i="6" s="1"/>
  <c r="AD182" i="6"/>
  <c r="AD183" i="6"/>
  <c r="AD184" i="6"/>
  <c r="AD185" i="6"/>
  <c r="AD186" i="6"/>
  <c r="AA187" i="6"/>
  <c r="AD187" i="6" s="1"/>
  <c r="AF187" i="6" s="1"/>
  <c r="AD188" i="6"/>
  <c r="AD189" i="6"/>
  <c r="AD190" i="6"/>
  <c r="AD191" i="6"/>
  <c r="AD192" i="6"/>
  <c r="AA193" i="6"/>
  <c r="AD193" i="6" s="1"/>
  <c r="AF193" i="6" s="1"/>
  <c r="AD194" i="6"/>
  <c r="AD195" i="6"/>
  <c r="AD196" i="6"/>
  <c r="AD197" i="6"/>
  <c r="AD198" i="6"/>
  <c r="AA199" i="6"/>
  <c r="AD199" i="6" s="1"/>
  <c r="AF199" i="6" s="1"/>
  <c r="AD200" i="6"/>
  <c r="AD201" i="6"/>
  <c r="AD202" i="6"/>
  <c r="AD203" i="6"/>
  <c r="AD204" i="6"/>
  <c r="AA205" i="6"/>
  <c r="AD205" i="6" s="1"/>
  <c r="AF205" i="6" s="1"/>
  <c r="AD206" i="6"/>
  <c r="AD207" i="6"/>
  <c r="AD208" i="6"/>
  <c r="AD209" i="6"/>
  <c r="AD210" i="6"/>
  <c r="AA211" i="6"/>
  <c r="AD211" i="6" s="1"/>
  <c r="AF211" i="6" s="1"/>
  <c r="AD212" i="6"/>
  <c r="AD213" i="6"/>
  <c r="AD214" i="6"/>
  <c r="AD215" i="6"/>
  <c r="AD216" i="6"/>
  <c r="AA217" i="6"/>
  <c r="AD217" i="6" s="1"/>
  <c r="AF217" i="6" s="1"/>
  <c r="AD218" i="6"/>
  <c r="AD219" i="6"/>
  <c r="AD220" i="6"/>
  <c r="AD221" i="6"/>
  <c r="AD222" i="6"/>
  <c r="AA223" i="6"/>
  <c r="AD223" i="6" s="1"/>
  <c r="AF223" i="6" s="1"/>
  <c r="AD224" i="6"/>
  <c r="AD225" i="6"/>
  <c r="AD226" i="6"/>
  <c r="AD227" i="6"/>
  <c r="AD228" i="6"/>
  <c r="AA229" i="6"/>
  <c r="AD229" i="6" s="1"/>
  <c r="AF229" i="6" s="1"/>
  <c r="AD230" i="6"/>
  <c r="AD231" i="6"/>
  <c r="AD232" i="6"/>
  <c r="AD233" i="6"/>
  <c r="AD234" i="6"/>
  <c r="AA235" i="6"/>
  <c r="AD235" i="6" s="1"/>
  <c r="AF235" i="6" s="1"/>
  <c r="AD236" i="6"/>
  <c r="AD237" i="6"/>
  <c r="AD238" i="6"/>
  <c r="AD239" i="6"/>
  <c r="AD240" i="6"/>
  <c r="AA241" i="6"/>
  <c r="AD241" i="6" s="1"/>
  <c r="AF241" i="6" s="1"/>
  <c r="AD242" i="6"/>
  <c r="AD243" i="6"/>
  <c r="AD244" i="6"/>
  <c r="AD245" i="6"/>
  <c r="AD246" i="6"/>
  <c r="AA247" i="6"/>
  <c r="AD247" i="6" s="1"/>
  <c r="AF247" i="6" s="1"/>
  <c r="AD248" i="6"/>
  <c r="AD249" i="6"/>
  <c r="AD250" i="6"/>
  <c r="AD251" i="6"/>
  <c r="AD252" i="6"/>
  <c r="AA253" i="6"/>
  <c r="AD253" i="6" s="1"/>
  <c r="AF253" i="6" s="1"/>
  <c r="AD254" i="6"/>
  <c r="AD255" i="6"/>
  <c r="AD256" i="6"/>
  <c r="AD257" i="6"/>
  <c r="AD258" i="6"/>
  <c r="AA259" i="6"/>
  <c r="AD259" i="6" s="1"/>
  <c r="AF259" i="6" s="1"/>
  <c r="AD260" i="6"/>
  <c r="AD261" i="6"/>
  <c r="AD262" i="6"/>
  <c r="AD263" i="6"/>
  <c r="AD264" i="6"/>
  <c r="AA265" i="6"/>
  <c r="AD265" i="6" s="1"/>
  <c r="AF265" i="6" s="1"/>
  <c r="AD266" i="6"/>
  <c r="AD267" i="6"/>
  <c r="AD268" i="6"/>
  <c r="AD269" i="6"/>
  <c r="AD270" i="6"/>
  <c r="AA271" i="6"/>
  <c r="AD271" i="6" s="1"/>
  <c r="AF271" i="6" s="1"/>
  <c r="AD272" i="6"/>
  <c r="AD273" i="6"/>
  <c r="AD274" i="6"/>
  <c r="AD275" i="6"/>
  <c r="AD276" i="6"/>
  <c r="AA277" i="6"/>
  <c r="AD277" i="6" s="1"/>
  <c r="AF277" i="6" s="1"/>
  <c r="AD278" i="6"/>
  <c r="AD279" i="6"/>
  <c r="AD280" i="6"/>
  <c r="AD281" i="6"/>
  <c r="AD282" i="6"/>
  <c r="AA283" i="6"/>
  <c r="AD283" i="6" s="1"/>
  <c r="AF283" i="6" s="1"/>
  <c r="AD284" i="6"/>
  <c r="AD285" i="6"/>
  <c r="AD286" i="6"/>
  <c r="AD287" i="6"/>
  <c r="AD288" i="6"/>
  <c r="AA289" i="6"/>
  <c r="AD289" i="6" s="1"/>
  <c r="AF289" i="6" s="1"/>
  <c r="AD290" i="6"/>
  <c r="AD291" i="6"/>
  <c r="AD292" i="6"/>
  <c r="AD293" i="6"/>
  <c r="AD294" i="6"/>
  <c r="AA295" i="6"/>
  <c r="AD295" i="6" s="1"/>
  <c r="AF295" i="6" s="1"/>
  <c r="AD296" i="6"/>
  <c r="AD297" i="6"/>
  <c r="AD298" i="6"/>
  <c r="AD299" i="6"/>
  <c r="AD300" i="6"/>
  <c r="AA301" i="6"/>
  <c r="AD301" i="6" s="1"/>
  <c r="AF301" i="6" s="1"/>
  <c r="AD302" i="6"/>
  <c r="AD303" i="6"/>
  <c r="AD304" i="6"/>
  <c r="AD305" i="6"/>
  <c r="AD306" i="6"/>
  <c r="AA307" i="6"/>
  <c r="AD307" i="6" s="1"/>
  <c r="AF307" i="6" s="1"/>
  <c r="AD308" i="6"/>
  <c r="AD309" i="6"/>
  <c r="AD310" i="6"/>
  <c r="AD311" i="6"/>
  <c r="AD312" i="6"/>
  <c r="AA313" i="6"/>
  <c r="AD313" i="6" s="1"/>
  <c r="AF313" i="6" s="1"/>
  <c r="AD314" i="6"/>
  <c r="AD315" i="6"/>
  <c r="AD316" i="6"/>
  <c r="AD317" i="6"/>
  <c r="AD318" i="6"/>
  <c r="AA319" i="6"/>
  <c r="AD319" i="6" s="1"/>
  <c r="AF319" i="6" s="1"/>
  <c r="AD320" i="6"/>
  <c r="AD321" i="6"/>
  <c r="AD322" i="6"/>
  <c r="AD323" i="6"/>
  <c r="AD324" i="6"/>
  <c r="AA325" i="6"/>
  <c r="AD325" i="6" s="1"/>
  <c r="AF325" i="6" s="1"/>
  <c r="AD326" i="6"/>
  <c r="AD327" i="6"/>
  <c r="AD328" i="6"/>
  <c r="AD329" i="6"/>
  <c r="AD330" i="6"/>
  <c r="AA331" i="6"/>
  <c r="AD331" i="6" s="1"/>
  <c r="AF331" i="6" s="1"/>
  <c r="AD332" i="6"/>
  <c r="AD333" i="6"/>
  <c r="AD334" i="6"/>
  <c r="AD335" i="6"/>
  <c r="AD336" i="6"/>
  <c r="AA337" i="6"/>
  <c r="AD337" i="6" s="1"/>
  <c r="AF337" i="6" s="1"/>
  <c r="AD338" i="6"/>
  <c r="AD339" i="6"/>
  <c r="AD340" i="6"/>
  <c r="AD341" i="6"/>
  <c r="AD342" i="6"/>
  <c r="AA343" i="6"/>
  <c r="AD343" i="6" s="1"/>
  <c r="AF343" i="6" s="1"/>
  <c r="AD344" i="6"/>
  <c r="AD345" i="6"/>
  <c r="AD346" i="6"/>
  <c r="AD347" i="6"/>
  <c r="AD348" i="6"/>
  <c r="AA349" i="6"/>
  <c r="AD349" i="6" s="1"/>
  <c r="AF349" i="6" s="1"/>
  <c r="AD350" i="6"/>
  <c r="AD351" i="6"/>
  <c r="AD352" i="6"/>
  <c r="AD353" i="6"/>
  <c r="AD354" i="6"/>
  <c r="AA355" i="6"/>
  <c r="AD355" i="6" s="1"/>
  <c r="AF355" i="6" s="1"/>
  <c r="AD356" i="6"/>
  <c r="AD357" i="6"/>
  <c r="AD358" i="6"/>
  <c r="AD359" i="6"/>
  <c r="AD360" i="6"/>
  <c r="AA361" i="6"/>
  <c r="AD361" i="6" s="1"/>
  <c r="AF361" i="6" s="1"/>
  <c r="AD362" i="6"/>
  <c r="AD363" i="6"/>
  <c r="AD364" i="6"/>
  <c r="AD365" i="6"/>
  <c r="AD366" i="6"/>
  <c r="AA7" i="6"/>
  <c r="AD7" i="6" s="1"/>
  <c r="AF7" i="6" s="1"/>
  <c r="C19" i="6"/>
  <c r="C25" i="6"/>
  <c r="C31" i="6"/>
  <c r="C37" i="6"/>
  <c r="C85" i="6"/>
  <c r="C91" i="6"/>
  <c r="C97" i="6"/>
  <c r="C103" i="6"/>
  <c r="C109" i="6"/>
  <c r="C115" i="6"/>
  <c r="C121" i="6"/>
  <c r="C127" i="6"/>
  <c r="C133" i="6"/>
  <c r="C139" i="6"/>
  <c r="C145" i="6"/>
  <c r="C151" i="6"/>
  <c r="C157" i="6"/>
  <c r="C163" i="6"/>
  <c r="C169" i="6"/>
  <c r="C175" i="6"/>
  <c r="C181" i="6"/>
  <c r="C187" i="6"/>
  <c r="C193" i="6"/>
  <c r="C199" i="6"/>
  <c r="C205" i="6"/>
  <c r="C211" i="6"/>
  <c r="C217" i="6"/>
  <c r="C223" i="6"/>
  <c r="C229" i="6"/>
  <c r="C235" i="6"/>
  <c r="C241" i="6"/>
  <c r="C247" i="6"/>
  <c r="C253" i="6"/>
  <c r="C259" i="6"/>
  <c r="C265" i="6"/>
  <c r="C271" i="6"/>
  <c r="C277" i="6"/>
  <c r="C283" i="6"/>
  <c r="C289" i="6"/>
  <c r="C295" i="6"/>
  <c r="C301" i="6"/>
  <c r="C307" i="6"/>
  <c r="C313" i="6"/>
  <c r="C319" i="6"/>
  <c r="C325" i="6"/>
  <c r="C331" i="6"/>
  <c r="C337" i="6"/>
  <c r="C343" i="6"/>
  <c r="C349" i="6"/>
  <c r="C355" i="6"/>
  <c r="C361" i="6"/>
  <c r="C13" i="6"/>
  <c r="C7" i="6"/>
  <c r="AX91" i="6" l="1"/>
  <c r="AY91" i="6" s="1"/>
  <c r="BB91" i="6" s="1"/>
  <c r="BC91" i="6" s="1"/>
  <c r="AD19" i="6"/>
  <c r="AF19" i="6" s="1"/>
  <c r="AF25" i="6"/>
  <c r="BI25" i="6"/>
  <c r="AJ237" i="10"/>
  <c r="AK237" i="10" s="1"/>
  <c r="AY261" i="12"/>
  <c r="AZ261" i="12" s="1"/>
  <c r="AY52" i="12"/>
  <c r="AZ52" i="12" s="1"/>
  <c r="AY352" i="12"/>
  <c r="AZ352" i="12" s="1"/>
  <c r="AY8" i="12"/>
  <c r="AZ8" i="12" s="1"/>
  <c r="AY85" i="12"/>
  <c r="AZ85" i="12" s="1"/>
  <c r="AY228" i="12"/>
  <c r="AZ228" i="12" s="1"/>
  <c r="AY191" i="12"/>
  <c r="AZ191" i="12" s="1"/>
  <c r="AY285" i="12"/>
  <c r="AZ285" i="12" s="1"/>
  <c r="AY125" i="12"/>
  <c r="AZ125" i="12" s="1"/>
  <c r="AY185" i="12"/>
  <c r="AZ185" i="12" s="1"/>
  <c r="AY130" i="12"/>
  <c r="AZ130" i="12" s="1"/>
  <c r="AY276" i="12"/>
  <c r="AZ276" i="12" s="1"/>
  <c r="AY208" i="12"/>
  <c r="AZ208" i="12" s="1"/>
  <c r="AY121" i="12"/>
  <c r="AZ121" i="12" s="1"/>
  <c r="AY114" i="12"/>
  <c r="AZ114" i="12" s="1"/>
  <c r="AY359" i="12"/>
  <c r="AZ359" i="12" s="1"/>
  <c r="AY328" i="12"/>
  <c r="AZ328" i="12" s="1"/>
  <c r="AY253" i="12"/>
  <c r="AZ253" i="12" s="1"/>
  <c r="AY131" i="12"/>
  <c r="AZ131" i="12" s="1"/>
  <c r="AY257" i="12"/>
  <c r="AZ257" i="12" s="1"/>
  <c r="AY200" i="12"/>
  <c r="AZ200" i="12" s="1"/>
  <c r="AY166" i="12"/>
  <c r="AZ166" i="12" s="1"/>
  <c r="AY343" i="12"/>
  <c r="AZ343" i="12" s="1"/>
  <c r="AY280" i="12"/>
  <c r="AZ280" i="12" s="1"/>
  <c r="AY159" i="12"/>
  <c r="AZ159" i="12" s="1"/>
  <c r="AY293" i="12"/>
  <c r="AZ293" i="12" s="1"/>
  <c r="AY317" i="12"/>
  <c r="AZ317" i="12" s="1"/>
  <c r="AY111" i="12"/>
  <c r="AZ111" i="12" s="1"/>
  <c r="AY198" i="12"/>
  <c r="AZ198" i="12" s="1"/>
  <c r="AY170" i="12"/>
  <c r="AZ170" i="12" s="1"/>
  <c r="AY136" i="12"/>
  <c r="AZ136" i="12" s="1"/>
  <c r="AY347" i="12"/>
  <c r="AZ347" i="12" s="1"/>
  <c r="AY266" i="12"/>
  <c r="AZ266" i="12" s="1"/>
  <c r="AY259" i="12"/>
  <c r="AZ259" i="12" s="1"/>
  <c r="AY312" i="12"/>
  <c r="AZ312" i="12" s="1"/>
  <c r="AY235" i="12"/>
  <c r="AZ235" i="12" s="1"/>
  <c r="AY122" i="12"/>
  <c r="AZ122" i="12" s="1"/>
  <c r="AY77" i="12"/>
  <c r="AZ77" i="12" s="1"/>
  <c r="AY358" i="12"/>
  <c r="AZ358" i="12" s="1"/>
  <c r="AY331" i="12"/>
  <c r="AZ331" i="12" s="1"/>
  <c r="AY264" i="12"/>
  <c r="AZ264" i="12" s="1"/>
  <c r="AY221" i="12"/>
  <c r="AZ221" i="12" s="1"/>
  <c r="AY303" i="12"/>
  <c r="AZ303" i="12" s="1"/>
  <c r="AY189" i="12"/>
  <c r="AZ189" i="12" s="1"/>
  <c r="AY363" i="12"/>
  <c r="AZ363" i="12" s="1"/>
  <c r="AY336" i="12"/>
  <c r="AZ336" i="12" s="1"/>
  <c r="AY246" i="12"/>
  <c r="AZ246" i="12" s="1"/>
  <c r="AY145" i="12"/>
  <c r="AZ145" i="12" s="1"/>
  <c r="AY86" i="12"/>
  <c r="AZ86" i="12" s="1"/>
  <c r="AY119" i="12"/>
  <c r="AZ119" i="12" s="1"/>
  <c r="AY197" i="12"/>
  <c r="AZ197" i="12" s="1"/>
  <c r="AY163" i="12"/>
  <c r="AZ163" i="12" s="1"/>
  <c r="AY138" i="12"/>
  <c r="AZ138" i="12" s="1"/>
  <c r="AY339" i="12"/>
  <c r="AZ339" i="12" s="1"/>
  <c r="AY310" i="12"/>
  <c r="AZ310" i="12" s="1"/>
  <c r="AY147" i="12"/>
  <c r="AZ147" i="12" s="1"/>
  <c r="AY152" i="12"/>
  <c r="AZ152" i="12" s="1"/>
  <c r="AY91" i="12"/>
  <c r="AZ91" i="12" s="1"/>
  <c r="AY262" i="12"/>
  <c r="AZ262" i="12" s="1"/>
  <c r="AY113" i="12"/>
  <c r="AZ113" i="12" s="1"/>
  <c r="AY76" i="12"/>
  <c r="AZ76" i="12" s="1"/>
  <c r="AY361" i="12"/>
  <c r="AZ361" i="12" s="1"/>
  <c r="AY330" i="12"/>
  <c r="AZ330" i="12" s="1"/>
  <c r="AY229" i="12"/>
  <c r="AZ229" i="12" s="1"/>
  <c r="AY321" i="12"/>
  <c r="AZ321" i="12" s="1"/>
  <c r="AY238" i="12"/>
  <c r="AZ238" i="12" s="1"/>
  <c r="AY188" i="12"/>
  <c r="AZ188" i="12" s="1"/>
  <c r="AY335" i="12"/>
  <c r="AZ335" i="12" s="1"/>
  <c r="AY244" i="12"/>
  <c r="AZ244" i="12" s="1"/>
  <c r="AY144" i="12"/>
  <c r="AZ144" i="12" s="1"/>
  <c r="AY96" i="12"/>
  <c r="AZ96" i="12" s="1"/>
  <c r="AY128" i="12"/>
  <c r="AZ128" i="12" s="1"/>
  <c r="AY204" i="12"/>
  <c r="AZ204" i="12" s="1"/>
  <c r="AY172" i="12"/>
  <c r="AZ172" i="12" s="1"/>
  <c r="AY57" i="12"/>
  <c r="AZ57" i="12" s="1"/>
  <c r="AY25" i="12"/>
  <c r="AZ25" i="12" s="1"/>
  <c r="AY19" i="12"/>
  <c r="AZ19" i="12" s="1"/>
  <c r="AY67" i="12"/>
  <c r="AZ67" i="12" s="1"/>
  <c r="AY56" i="12"/>
  <c r="AZ56" i="12" s="1"/>
  <c r="AY20" i="12"/>
  <c r="AZ20" i="12" s="1"/>
  <c r="AY14" i="12"/>
  <c r="AZ14" i="12" s="1"/>
  <c r="AY43" i="12"/>
  <c r="AZ43" i="12" s="1"/>
  <c r="AY35" i="12"/>
  <c r="AZ35" i="12" s="1"/>
  <c r="AY178" i="12"/>
  <c r="AZ178" i="12" s="1"/>
  <c r="AY355" i="12"/>
  <c r="AZ355" i="12" s="1"/>
  <c r="AY323" i="12"/>
  <c r="AZ323" i="12" s="1"/>
  <c r="AY314" i="12"/>
  <c r="AZ314" i="12" s="1"/>
  <c r="AY356" i="12"/>
  <c r="AZ356" i="12" s="1"/>
  <c r="AY118" i="12"/>
  <c r="AZ118" i="12" s="1"/>
  <c r="AY167" i="12"/>
  <c r="AZ167" i="12" s="1"/>
  <c r="AY214" i="12"/>
  <c r="AZ214" i="12" s="1"/>
  <c r="AY112" i="12"/>
  <c r="AZ112" i="12" s="1"/>
  <c r="AY175" i="12"/>
  <c r="AZ175" i="12" s="1"/>
  <c r="AY366" i="12"/>
  <c r="AZ366" i="12" s="1"/>
  <c r="AY297" i="12"/>
  <c r="AZ297" i="12" s="1"/>
  <c r="AY156" i="12"/>
  <c r="AZ156" i="12" s="1"/>
  <c r="AY100" i="12"/>
  <c r="AZ100" i="12" s="1"/>
  <c r="AY106" i="12"/>
  <c r="AZ106" i="12" s="1"/>
  <c r="AY350" i="12"/>
  <c r="AZ350" i="12" s="1"/>
  <c r="AY311" i="12"/>
  <c r="AZ311" i="12" s="1"/>
  <c r="AY239" i="12"/>
  <c r="AZ239" i="12" s="1"/>
  <c r="AY116" i="12"/>
  <c r="AZ116" i="12" s="1"/>
  <c r="AY248" i="12"/>
  <c r="AZ248" i="12" s="1"/>
  <c r="AY190" i="12"/>
  <c r="AZ190" i="12" s="1"/>
  <c r="AY97" i="12"/>
  <c r="AZ97" i="12" s="1"/>
  <c r="AY337" i="12"/>
  <c r="AZ337" i="12" s="1"/>
  <c r="AY258" i="12"/>
  <c r="AZ258" i="12" s="1"/>
  <c r="AY150" i="12"/>
  <c r="AZ150" i="12" s="1"/>
  <c r="AY256" i="12"/>
  <c r="AZ256" i="12" s="1"/>
  <c r="AY309" i="12"/>
  <c r="AZ309" i="12" s="1"/>
  <c r="AY87" i="12"/>
  <c r="AZ87" i="12" s="1"/>
  <c r="AY194" i="12"/>
  <c r="AZ194" i="12" s="1"/>
  <c r="AY158" i="12"/>
  <c r="AZ158" i="12" s="1"/>
  <c r="AY79" i="12"/>
  <c r="AZ79" i="12" s="1"/>
  <c r="AY322" i="12"/>
  <c r="AZ322" i="12" s="1"/>
  <c r="AY226" i="12"/>
  <c r="AZ226" i="12" s="1"/>
  <c r="AY160" i="12"/>
  <c r="AZ160" i="12" s="1"/>
  <c r="AY195" i="12"/>
  <c r="AZ195" i="12" s="1"/>
  <c r="AY272" i="12"/>
  <c r="AZ272" i="12" s="1"/>
  <c r="AY220" i="12"/>
  <c r="AZ220" i="12" s="1"/>
  <c r="AY109" i="12"/>
  <c r="AZ109" i="12" s="1"/>
  <c r="AY349" i="12"/>
  <c r="AZ349" i="12" s="1"/>
  <c r="AY327" i="12"/>
  <c r="AZ327" i="12" s="1"/>
  <c r="AY251" i="12"/>
  <c r="AZ251" i="12" s="1"/>
  <c r="AY146" i="12"/>
  <c r="AZ146" i="12" s="1"/>
  <c r="AY278" i="12"/>
  <c r="AZ278" i="12" s="1"/>
  <c r="AY231" i="12"/>
  <c r="AZ231" i="12" s="1"/>
  <c r="AY179" i="12"/>
  <c r="AZ179" i="12" s="1"/>
  <c r="AY332" i="12"/>
  <c r="AZ332" i="12" s="1"/>
  <c r="AY224" i="12"/>
  <c r="AZ224" i="12" s="1"/>
  <c r="AY290" i="12"/>
  <c r="AZ290" i="12" s="1"/>
  <c r="AY316" i="12"/>
  <c r="AZ316" i="12" s="1"/>
  <c r="AY110" i="12"/>
  <c r="AZ110" i="12" s="1"/>
  <c r="AY187" i="12"/>
  <c r="AZ187" i="12" s="1"/>
  <c r="AY140" i="12"/>
  <c r="AZ140" i="12" s="1"/>
  <c r="AY101" i="12"/>
  <c r="AZ101" i="12" s="1"/>
  <c r="AY298" i="12"/>
  <c r="AZ298" i="12" s="1"/>
  <c r="AY250" i="12"/>
  <c r="AZ250" i="12" s="1"/>
  <c r="AY351" i="12"/>
  <c r="AZ351" i="12" s="1"/>
  <c r="AY90" i="12"/>
  <c r="AZ90" i="12" s="1"/>
  <c r="AY365" i="12"/>
  <c r="AZ365" i="12" s="1"/>
  <c r="AY277" i="12"/>
  <c r="AZ277" i="12" s="1"/>
  <c r="AY115" i="12"/>
  <c r="AZ115" i="12" s="1"/>
  <c r="AY108" i="12"/>
  <c r="AZ108" i="12" s="1"/>
  <c r="AY357" i="12"/>
  <c r="AZ357" i="12" s="1"/>
  <c r="AY326" i="12"/>
  <c r="AZ326" i="12" s="1"/>
  <c r="AY153" i="12"/>
  <c r="AZ153" i="12" s="1"/>
  <c r="AY295" i="12"/>
  <c r="AZ295" i="12" s="1"/>
  <c r="AY227" i="12"/>
  <c r="AZ227" i="12" s="1"/>
  <c r="AY93" i="12"/>
  <c r="AZ93" i="12" s="1"/>
  <c r="AY324" i="12"/>
  <c r="AZ324" i="12" s="1"/>
  <c r="AY215" i="12"/>
  <c r="AZ215" i="12" s="1"/>
  <c r="AY137" i="12"/>
  <c r="AZ137" i="12" s="1"/>
  <c r="AY72" i="12"/>
  <c r="AZ72" i="12" s="1"/>
  <c r="AY117" i="12"/>
  <c r="AZ117" i="12" s="1"/>
  <c r="AY196" i="12"/>
  <c r="AZ196" i="12" s="1"/>
  <c r="AY162" i="12"/>
  <c r="AZ162" i="12" s="1"/>
  <c r="AY47" i="12"/>
  <c r="AZ47" i="12" s="1"/>
  <c r="AY21" i="12"/>
  <c r="AZ21" i="12" s="1"/>
  <c r="AY15" i="12"/>
  <c r="AZ15" i="12" s="1"/>
  <c r="AY61" i="12"/>
  <c r="AZ61" i="12" s="1"/>
  <c r="AY46" i="12"/>
  <c r="AZ46" i="12" s="1"/>
  <c r="AY10" i="12"/>
  <c r="AZ10" i="12" s="1"/>
  <c r="AY53" i="12"/>
  <c r="AZ53" i="12" s="1"/>
  <c r="AY55" i="12"/>
  <c r="AZ55" i="12" s="1"/>
  <c r="AY42" i="12"/>
  <c r="AZ42" i="12" s="1"/>
  <c r="AY164" i="12"/>
  <c r="AZ164" i="12" s="1"/>
  <c r="AY275" i="12"/>
  <c r="AZ275" i="12" s="1"/>
  <c r="AY165" i="12"/>
  <c r="AZ165" i="12" s="1"/>
  <c r="AY273" i="12"/>
  <c r="AZ273" i="12" s="1"/>
  <c r="AY329" i="12"/>
  <c r="AZ329" i="12" s="1"/>
  <c r="AY289" i="12"/>
  <c r="AZ289" i="12" s="1"/>
  <c r="AY73" i="12"/>
  <c r="AZ73" i="12" s="1"/>
  <c r="AY143" i="12"/>
  <c r="AZ143" i="12" s="1"/>
  <c r="AY217" i="12"/>
  <c r="AZ217" i="12" s="1"/>
  <c r="AY171" i="12"/>
  <c r="AZ171" i="12" s="1"/>
  <c r="AY315" i="12"/>
  <c r="AZ315" i="12" s="1"/>
  <c r="AY263" i="12"/>
  <c r="AZ263" i="12" s="1"/>
  <c r="AY134" i="12"/>
  <c r="AZ134" i="12" s="1"/>
  <c r="AY78" i="12"/>
  <c r="AZ78" i="12" s="1"/>
  <c r="AY84" i="12"/>
  <c r="AZ84" i="12" s="1"/>
  <c r="AY346" i="12"/>
  <c r="AZ346" i="12" s="1"/>
  <c r="AY282" i="12"/>
  <c r="AZ282" i="12" s="1"/>
  <c r="AY223" i="12"/>
  <c r="AZ223" i="12" s="1"/>
  <c r="AY304" i="12"/>
  <c r="AZ304" i="12" s="1"/>
  <c r="AY233" i="12"/>
  <c r="AZ233" i="12" s="1"/>
  <c r="AY180" i="12"/>
  <c r="AZ180" i="12" s="1"/>
  <c r="AY364" i="12"/>
  <c r="AZ364" i="12" s="1"/>
  <c r="AY333" i="12"/>
  <c r="AZ333" i="12" s="1"/>
  <c r="AY225" i="12"/>
  <c r="AZ225" i="12" s="1"/>
  <c r="AY142" i="12"/>
  <c r="AZ142" i="12" s="1"/>
  <c r="AY243" i="12"/>
  <c r="AZ243" i="12" s="1"/>
  <c r="AY284" i="12"/>
  <c r="AZ284" i="12" s="1"/>
  <c r="AY269" i="12"/>
  <c r="AZ269" i="12" s="1"/>
  <c r="AY184" i="12"/>
  <c r="AZ184" i="12" s="1"/>
  <c r="AY301" i="12"/>
  <c r="AZ301" i="12" s="1"/>
  <c r="AY107" i="12"/>
  <c r="AZ107" i="12" s="1"/>
  <c r="AY241" i="12"/>
  <c r="AZ241" i="12" s="1"/>
  <c r="AY181" i="12"/>
  <c r="AZ181" i="12" s="1"/>
  <c r="AY135" i="12"/>
  <c r="AZ135" i="12" s="1"/>
  <c r="AY319" i="12"/>
  <c r="AZ319" i="12" s="1"/>
  <c r="AY287" i="12"/>
  <c r="AZ287" i="12" s="1"/>
  <c r="AY155" i="12"/>
  <c r="AZ155" i="12" s="1"/>
  <c r="AY103" i="12"/>
  <c r="AZ103" i="12" s="1"/>
  <c r="AY105" i="12"/>
  <c r="AZ105" i="12" s="1"/>
  <c r="AY305" i="12"/>
  <c r="AZ305" i="12" s="1"/>
  <c r="AY237" i="12"/>
  <c r="AZ237" i="12" s="1"/>
  <c r="AY129" i="12"/>
  <c r="AZ129" i="12" s="1"/>
  <c r="AY255" i="12"/>
  <c r="AZ255" i="12" s="1"/>
  <c r="AY203" i="12"/>
  <c r="AZ203" i="12" s="1"/>
  <c r="AY169" i="12"/>
  <c r="AZ169" i="12" s="1"/>
  <c r="AY353" i="12"/>
  <c r="AZ353" i="12" s="1"/>
  <c r="AY291" i="12"/>
  <c r="AZ291" i="12" s="1"/>
  <c r="AY209" i="12"/>
  <c r="AZ209" i="12" s="1"/>
  <c r="AY254" i="12"/>
  <c r="AZ254" i="12" s="1"/>
  <c r="AY308" i="12"/>
  <c r="AZ308" i="12" s="1"/>
  <c r="AY268" i="12"/>
  <c r="AZ268" i="12" s="1"/>
  <c r="AY183" i="12"/>
  <c r="AZ183" i="12" s="1"/>
  <c r="AY286" i="12"/>
  <c r="AZ286" i="12" s="1"/>
  <c r="AY127" i="12"/>
  <c r="AZ127" i="12" s="1"/>
  <c r="AY260" i="12"/>
  <c r="AZ260" i="12" s="1"/>
  <c r="AY201" i="12"/>
  <c r="AZ201" i="12" s="1"/>
  <c r="AY320" i="12"/>
  <c r="AZ320" i="12" s="1"/>
  <c r="AY245" i="12"/>
  <c r="AZ245" i="12" s="1"/>
  <c r="AY318" i="12"/>
  <c r="AZ318" i="12" s="1"/>
  <c r="AY211" i="12"/>
  <c r="AZ211" i="12" s="1"/>
  <c r="AY102" i="12"/>
  <c r="AZ102" i="12" s="1"/>
  <c r="AY104" i="12"/>
  <c r="AZ104" i="12" s="1"/>
  <c r="AY348" i="12"/>
  <c r="AZ348" i="12" s="1"/>
  <c r="AY302" i="12"/>
  <c r="AZ302" i="12" s="1"/>
  <c r="AY141" i="12"/>
  <c r="AZ141" i="12" s="1"/>
  <c r="AY274" i="12"/>
  <c r="AZ274" i="12" s="1"/>
  <c r="AY202" i="12"/>
  <c r="AZ202" i="12" s="1"/>
  <c r="AY362" i="12"/>
  <c r="AZ362" i="12" s="1"/>
  <c r="AY288" i="12"/>
  <c r="AZ288" i="12" s="1"/>
  <c r="AY205" i="12"/>
  <c r="AZ205" i="12" s="1"/>
  <c r="AY247" i="12"/>
  <c r="AZ247" i="12" s="1"/>
  <c r="AY313" i="12"/>
  <c r="AZ313" i="12" s="1"/>
  <c r="AY94" i="12"/>
  <c r="AZ94" i="12" s="1"/>
  <c r="AY186" i="12"/>
  <c r="AZ186" i="12" s="1"/>
  <c r="AY132" i="12"/>
  <c r="AZ132" i="12" s="1"/>
  <c r="AY37" i="12"/>
  <c r="AZ37" i="12" s="1"/>
  <c r="AY11" i="12"/>
  <c r="AZ11" i="12" s="1"/>
  <c r="AY40" i="12"/>
  <c r="AZ40" i="12" s="1"/>
  <c r="AY60" i="12"/>
  <c r="AZ60" i="12" s="1"/>
  <c r="AY36" i="12"/>
  <c r="AZ36" i="12" s="1"/>
  <c r="AY28" i="12"/>
  <c r="AZ28" i="12" s="1"/>
  <c r="AY68" i="12"/>
  <c r="AZ68" i="12" s="1"/>
  <c r="AY49" i="12"/>
  <c r="AZ49" i="12" s="1"/>
  <c r="AY23" i="12"/>
  <c r="AZ23" i="12" s="1"/>
  <c r="AY299" i="12"/>
  <c r="AZ299" i="12" s="1"/>
  <c r="AY270" i="12"/>
  <c r="AZ270" i="12" s="1"/>
  <c r="AY199" i="12"/>
  <c r="AZ199" i="12" s="1"/>
  <c r="AY126" i="12"/>
  <c r="AZ126" i="12" s="1"/>
  <c r="AY267" i="12"/>
  <c r="AZ267" i="12" s="1"/>
  <c r="AY176" i="12"/>
  <c r="AZ176" i="12" s="1"/>
  <c r="AY89" i="12"/>
  <c r="AZ89" i="12" s="1"/>
  <c r="AY174" i="12"/>
  <c r="AZ174" i="12" s="1"/>
  <c r="AY334" i="12"/>
  <c r="AZ334" i="12" s="1"/>
  <c r="AY124" i="12"/>
  <c r="AZ124" i="12" s="1"/>
  <c r="AY281" i="12"/>
  <c r="AZ281" i="12" s="1"/>
  <c r="AY193" i="12"/>
  <c r="AZ193" i="12" s="1"/>
  <c r="AY157" i="12"/>
  <c r="AZ157" i="12" s="1"/>
  <c r="AY173" i="12"/>
  <c r="AZ173" i="12" s="1"/>
  <c r="AY177" i="12"/>
  <c r="AZ177" i="12" s="1"/>
  <c r="AY210" i="12"/>
  <c r="AZ210" i="12" s="1"/>
  <c r="AY249" i="12"/>
  <c r="AZ249" i="12" s="1"/>
  <c r="AY341" i="12"/>
  <c r="AZ341" i="12" s="1"/>
  <c r="AY306" i="12"/>
  <c r="AZ306" i="12" s="1"/>
  <c r="AY33" i="12"/>
  <c r="AZ33" i="12" s="1"/>
  <c r="AY24" i="12"/>
  <c r="AZ24" i="12" s="1"/>
  <c r="AY13" i="12"/>
  <c r="AZ13" i="12" s="1"/>
  <c r="AY17" i="12"/>
  <c r="AZ17" i="12" s="1"/>
  <c r="AY64" i="12"/>
  <c r="AZ64" i="12" s="1"/>
  <c r="AY48" i="12"/>
  <c r="AZ48" i="12" s="1"/>
  <c r="AY22" i="12"/>
  <c r="AZ22" i="12" s="1"/>
  <c r="AY16" i="12"/>
  <c r="AZ16" i="12" s="1"/>
  <c r="AY69" i="12"/>
  <c r="AZ69" i="12" s="1"/>
  <c r="AY30" i="12"/>
  <c r="AZ30" i="12" s="1"/>
  <c r="AY41" i="12"/>
  <c r="AZ41" i="12" s="1"/>
  <c r="AY294" i="12"/>
  <c r="AZ294" i="12" s="1"/>
  <c r="AY338" i="12"/>
  <c r="AZ338" i="12" s="1"/>
  <c r="AY212" i="12"/>
  <c r="AZ212" i="12" s="1"/>
  <c r="AY149" i="12"/>
  <c r="AZ149" i="12" s="1"/>
  <c r="AY265" i="12"/>
  <c r="AZ265" i="12" s="1"/>
  <c r="AY240" i="12"/>
  <c r="AZ240" i="12" s="1"/>
  <c r="AY213" i="12"/>
  <c r="AZ213" i="12" s="1"/>
  <c r="AY296" i="12"/>
  <c r="AZ296" i="12" s="1"/>
  <c r="AY344" i="12"/>
  <c r="AZ344" i="12" s="1"/>
  <c r="AY38" i="12"/>
  <c r="AZ38" i="12" s="1"/>
  <c r="AY27" i="12"/>
  <c r="AZ27" i="12" s="1"/>
  <c r="AY54" i="12"/>
  <c r="AZ54" i="12" s="1"/>
  <c r="AY59" i="12"/>
  <c r="AZ59" i="12" s="1"/>
  <c r="AY168" i="12"/>
  <c r="AZ168" i="12" s="1"/>
  <c r="AY236" i="12"/>
  <c r="AZ236" i="12" s="1"/>
  <c r="AY161" i="12"/>
  <c r="AZ161" i="12" s="1"/>
  <c r="AY74" i="12"/>
  <c r="AZ74" i="12" s="1"/>
  <c r="AY148" i="12"/>
  <c r="AZ148" i="12" s="1"/>
  <c r="AY354" i="12"/>
  <c r="AZ354" i="12" s="1"/>
  <c r="AY88" i="12"/>
  <c r="AZ88" i="12" s="1"/>
  <c r="AY206" i="12"/>
  <c r="AZ206" i="12" s="1"/>
  <c r="AY230" i="12"/>
  <c r="AZ230" i="12" s="1"/>
  <c r="AY99" i="12"/>
  <c r="AZ99" i="12" s="1"/>
  <c r="AY95" i="12"/>
  <c r="AZ95" i="12" s="1"/>
  <c r="AY234" i="12"/>
  <c r="AZ234" i="12" s="1"/>
  <c r="AY207" i="12"/>
  <c r="AZ207" i="12" s="1"/>
  <c r="AY242" i="12"/>
  <c r="AZ242" i="12" s="1"/>
  <c r="AY98" i="12"/>
  <c r="AZ98" i="12" s="1"/>
  <c r="AY120" i="12"/>
  <c r="AZ120" i="12" s="1"/>
  <c r="AY271" i="12"/>
  <c r="AZ271" i="12" s="1"/>
  <c r="AY219" i="12"/>
  <c r="AZ219" i="12" s="1"/>
  <c r="AY29" i="12"/>
  <c r="AZ29" i="12" s="1"/>
  <c r="AY18" i="12"/>
  <c r="AZ18" i="12" s="1"/>
  <c r="AY9" i="12"/>
  <c r="AZ9" i="12" s="1"/>
  <c r="AY51" i="12"/>
  <c r="AZ51" i="12" s="1"/>
  <c r="AY39" i="12"/>
  <c r="AZ39" i="12" s="1"/>
  <c r="AY44" i="12"/>
  <c r="AZ44" i="12" s="1"/>
  <c r="AY12" i="12"/>
  <c r="AZ12" i="12" s="1"/>
  <c r="AY50" i="12"/>
  <c r="AZ50" i="12" s="1"/>
  <c r="AY62" i="12"/>
  <c r="AZ62" i="12" s="1"/>
  <c r="AY34" i="12"/>
  <c r="AZ34" i="12" s="1"/>
  <c r="AY192" i="12"/>
  <c r="AZ192" i="12" s="1"/>
  <c r="AY63" i="12"/>
  <c r="AZ63" i="12" s="1"/>
  <c r="AY71" i="12"/>
  <c r="AZ71" i="12" s="1"/>
  <c r="AY26" i="12"/>
  <c r="AZ26" i="12" s="1"/>
  <c r="AY139" i="12"/>
  <c r="AZ139" i="12" s="1"/>
  <c r="AY340" i="12"/>
  <c r="AZ340" i="12" s="1"/>
  <c r="AY307" i="12"/>
  <c r="AZ307" i="12" s="1"/>
  <c r="AY80" i="12"/>
  <c r="AZ80" i="12" s="1"/>
  <c r="AY283" i="12"/>
  <c r="AZ283" i="12" s="1"/>
  <c r="AY292" i="12"/>
  <c r="AZ292" i="12" s="1"/>
  <c r="AY123" i="12"/>
  <c r="AZ123" i="12" s="1"/>
  <c r="AY81" i="12"/>
  <c r="AZ81" i="12" s="1"/>
  <c r="AY300" i="12"/>
  <c r="AZ300" i="12" s="1"/>
  <c r="AY83" i="12"/>
  <c r="AZ83" i="12" s="1"/>
  <c r="AY325" i="12"/>
  <c r="AZ325" i="12" s="1"/>
  <c r="AY342" i="12"/>
  <c r="AZ342" i="12" s="1"/>
  <c r="AY151" i="12"/>
  <c r="AZ151" i="12" s="1"/>
  <c r="AY360" i="12"/>
  <c r="AZ360" i="12" s="1"/>
  <c r="AY92" i="12"/>
  <c r="AZ92" i="12" s="1"/>
  <c r="AY82" i="12"/>
  <c r="AZ82" i="12" s="1"/>
  <c r="AY252" i="12"/>
  <c r="AZ252" i="12" s="1"/>
  <c r="AY154" i="12"/>
  <c r="AZ154" i="12" s="1"/>
  <c r="AY182" i="12"/>
  <c r="AZ182" i="12" s="1"/>
  <c r="AY70" i="12"/>
  <c r="AZ70" i="12" s="1"/>
  <c r="AY65" i="12"/>
  <c r="AZ65" i="12" s="1"/>
  <c r="AY31" i="12"/>
  <c r="AZ31" i="12" s="1"/>
  <c r="AY66" i="12"/>
  <c r="AZ66" i="12" s="1"/>
  <c r="AY58" i="12"/>
  <c r="AZ58" i="12" s="1"/>
  <c r="AY222" i="12"/>
  <c r="AZ222" i="12" s="1"/>
  <c r="AY218" i="12"/>
  <c r="AZ218" i="12" s="1"/>
  <c r="AY216" i="12"/>
  <c r="AZ216" i="12" s="1"/>
  <c r="AY345" i="12"/>
  <c r="AZ345" i="12" s="1"/>
  <c r="AY279" i="12"/>
  <c r="AZ279" i="12" s="1"/>
  <c r="AY133" i="12"/>
  <c r="AZ133" i="12" s="1"/>
  <c r="AY232" i="12"/>
  <c r="AZ232" i="12" s="1"/>
  <c r="AY45" i="12"/>
  <c r="AZ45" i="12" s="1"/>
  <c r="AY32" i="12"/>
  <c r="AZ32" i="12" s="1"/>
  <c r="AY75" i="12"/>
  <c r="AZ75" i="12" s="1"/>
  <c r="AY7" i="12"/>
  <c r="AZ7" i="12" s="1"/>
  <c r="AJ86" i="10"/>
  <c r="AK86" i="10" s="1"/>
  <c r="AJ90" i="10"/>
  <c r="AK90" i="10" s="1"/>
  <c r="AJ269" i="10"/>
  <c r="AK269" i="10" s="1"/>
  <c r="AJ278" i="10"/>
  <c r="AK278" i="10" s="1"/>
  <c r="AJ281" i="10"/>
  <c r="AK281" i="10" s="1"/>
  <c r="AJ225" i="10"/>
  <c r="AK225" i="10" s="1"/>
  <c r="AJ192" i="10"/>
  <c r="AK192" i="10" s="1"/>
  <c r="AJ169" i="10"/>
  <c r="AK169" i="10" s="1"/>
  <c r="AJ95" i="10"/>
  <c r="AK95" i="10" s="1"/>
  <c r="AJ115" i="10"/>
  <c r="AK115" i="10" s="1"/>
  <c r="AJ119" i="10"/>
  <c r="AK119" i="10" s="1"/>
  <c r="AJ318" i="10"/>
  <c r="AK318" i="10" s="1"/>
  <c r="AJ314" i="10"/>
  <c r="AK314" i="10" s="1"/>
  <c r="AJ294" i="10"/>
  <c r="AK294" i="10" s="1"/>
  <c r="AJ272" i="10"/>
  <c r="AK272" i="10" s="1"/>
  <c r="AJ258" i="10"/>
  <c r="AK258" i="10" s="1"/>
  <c r="AJ248" i="10"/>
  <c r="AK248" i="10" s="1"/>
  <c r="AJ231" i="10"/>
  <c r="AK231" i="10" s="1"/>
  <c r="AJ208" i="10"/>
  <c r="AK208" i="10" s="1"/>
  <c r="AJ200" i="10"/>
  <c r="AK200" i="10" s="1"/>
  <c r="AJ153" i="10"/>
  <c r="AK153" i="10" s="1"/>
  <c r="AJ145" i="10"/>
  <c r="AK145" i="10" s="1"/>
  <c r="AJ114" i="10"/>
  <c r="AK114" i="10" s="1"/>
  <c r="AJ97" i="10"/>
  <c r="AK97" i="10" s="1"/>
  <c r="AJ78" i="10"/>
  <c r="AK78" i="10" s="1"/>
  <c r="AJ66" i="10"/>
  <c r="AK66" i="10" s="1"/>
  <c r="AJ57" i="10"/>
  <c r="AK57" i="10" s="1"/>
  <c r="AJ49" i="10"/>
  <c r="AK49" i="10" s="1"/>
  <c r="AJ303" i="10"/>
  <c r="AK303" i="10" s="1"/>
  <c r="AJ292" i="10"/>
  <c r="AK292" i="10" s="1"/>
  <c r="AJ270" i="10"/>
  <c r="AK270" i="10" s="1"/>
  <c r="AJ250" i="10"/>
  <c r="AK250" i="10" s="1"/>
  <c r="AJ201" i="10"/>
  <c r="AK201" i="10" s="1"/>
  <c r="AJ191" i="10"/>
  <c r="AK191" i="10" s="1"/>
  <c r="AJ177" i="10"/>
  <c r="AK177" i="10" s="1"/>
  <c r="AJ165" i="10"/>
  <c r="AK165" i="10" s="1"/>
  <c r="AJ146" i="10"/>
  <c r="AK146" i="10" s="1"/>
  <c r="AJ140" i="10"/>
  <c r="AK140" i="10" s="1"/>
  <c r="AJ113" i="10"/>
  <c r="AK113" i="10" s="1"/>
  <c r="AJ79" i="10"/>
  <c r="AK79" i="10" s="1"/>
  <c r="AX366" i="6"/>
  <c r="AY366" i="6" s="1"/>
  <c r="AX362" i="6"/>
  <c r="AY362" i="6" s="1"/>
  <c r="AX358" i="6"/>
  <c r="AY358" i="6" s="1"/>
  <c r="BB358" i="6" s="1"/>
  <c r="BC358" i="6" s="1"/>
  <c r="AX354" i="6"/>
  <c r="AY354" i="6" s="1"/>
  <c r="AX350" i="6"/>
  <c r="AY350" i="6" s="1"/>
  <c r="AX346" i="6"/>
  <c r="AY346" i="6" s="1"/>
  <c r="AX342" i="6"/>
  <c r="AY342" i="6" s="1"/>
  <c r="AX338" i="6"/>
  <c r="AY338" i="6" s="1"/>
  <c r="AX334" i="6"/>
  <c r="AY334" i="6" s="1"/>
  <c r="AX330" i="6"/>
  <c r="AY330" i="6" s="1"/>
  <c r="AX326" i="6"/>
  <c r="AY326" i="6" s="1"/>
  <c r="BB326" i="6" s="1"/>
  <c r="BC326" i="6" s="1"/>
  <c r="AX322" i="6"/>
  <c r="AY322" i="6" s="1"/>
  <c r="AX318" i="6"/>
  <c r="AY318" i="6" s="1"/>
  <c r="AX314" i="6"/>
  <c r="AY314" i="6" s="1"/>
  <c r="AX310" i="6"/>
  <c r="AY310" i="6" s="1"/>
  <c r="AX306" i="6"/>
  <c r="AY306" i="6" s="1"/>
  <c r="AX302" i="6"/>
  <c r="AY302" i="6" s="1"/>
  <c r="AX298" i="6"/>
  <c r="AY298" i="6" s="1"/>
  <c r="AX294" i="6"/>
  <c r="AY294" i="6" s="1"/>
  <c r="BB294" i="6" s="1"/>
  <c r="BC294" i="6" s="1"/>
  <c r="AX290" i="6"/>
  <c r="AY290" i="6" s="1"/>
  <c r="AX286" i="6"/>
  <c r="AY286" i="6" s="1"/>
  <c r="AX282" i="6"/>
  <c r="AY282" i="6" s="1"/>
  <c r="AX278" i="6"/>
  <c r="AY278" i="6" s="1"/>
  <c r="AX274" i="6"/>
  <c r="AY274" i="6" s="1"/>
  <c r="AX270" i="6"/>
  <c r="AY270" i="6" s="1"/>
  <c r="AX266" i="6"/>
  <c r="AY266" i="6" s="1"/>
  <c r="AX262" i="6"/>
  <c r="AY262" i="6" s="1"/>
  <c r="BB262" i="6" s="1"/>
  <c r="BC262" i="6" s="1"/>
  <c r="AX258" i="6"/>
  <c r="AY258" i="6" s="1"/>
  <c r="AX254" i="6"/>
  <c r="AY254" i="6" s="1"/>
  <c r="AX250" i="6"/>
  <c r="AY250" i="6" s="1"/>
  <c r="AX246" i="6"/>
  <c r="AY246" i="6" s="1"/>
  <c r="AX242" i="6"/>
  <c r="AY242" i="6" s="1"/>
  <c r="AX238" i="6"/>
  <c r="AY238" i="6" s="1"/>
  <c r="AX234" i="6"/>
  <c r="AY234" i="6" s="1"/>
  <c r="AX230" i="6"/>
  <c r="AY230" i="6" s="1"/>
  <c r="BB230" i="6" s="1"/>
  <c r="BC230" i="6" s="1"/>
  <c r="AX226" i="6"/>
  <c r="AY226" i="6" s="1"/>
  <c r="AX222" i="6"/>
  <c r="AY222" i="6" s="1"/>
  <c r="AX218" i="6"/>
  <c r="AY218" i="6" s="1"/>
  <c r="AX214" i="6"/>
  <c r="AY214" i="6" s="1"/>
  <c r="AX210" i="6"/>
  <c r="AY210" i="6" s="1"/>
  <c r="AX206" i="6"/>
  <c r="AY206" i="6" s="1"/>
  <c r="AX202" i="6"/>
  <c r="AY202" i="6" s="1"/>
  <c r="AX198" i="6"/>
  <c r="AY198" i="6" s="1"/>
  <c r="BB198" i="6" s="1"/>
  <c r="BC198" i="6" s="1"/>
  <c r="AX194" i="6"/>
  <c r="AY194" i="6" s="1"/>
  <c r="AX190" i="6"/>
  <c r="AY190" i="6" s="1"/>
  <c r="AX186" i="6"/>
  <c r="AY186" i="6" s="1"/>
  <c r="AX182" i="6"/>
  <c r="AY182" i="6" s="1"/>
  <c r="AX178" i="6"/>
  <c r="AY178" i="6" s="1"/>
  <c r="AX174" i="6"/>
  <c r="AY174" i="6" s="1"/>
  <c r="AX170" i="6"/>
  <c r="AY170" i="6" s="1"/>
  <c r="AX166" i="6"/>
  <c r="AY166" i="6" s="1"/>
  <c r="BB166" i="6" s="1"/>
  <c r="BC166" i="6" s="1"/>
  <c r="AX162" i="6"/>
  <c r="AY162" i="6" s="1"/>
  <c r="AX158" i="6"/>
  <c r="AY158" i="6" s="1"/>
  <c r="AX154" i="6"/>
  <c r="AY154" i="6" s="1"/>
  <c r="AX150" i="6"/>
  <c r="AY150" i="6" s="1"/>
  <c r="AX146" i="6"/>
  <c r="AY146" i="6" s="1"/>
  <c r="AX142" i="6"/>
  <c r="AY142" i="6" s="1"/>
  <c r="AX138" i="6"/>
  <c r="AY138" i="6" s="1"/>
  <c r="AX134" i="6"/>
  <c r="AY134" i="6" s="1"/>
  <c r="BB134" i="6" s="1"/>
  <c r="BC134" i="6" s="1"/>
  <c r="AX130" i="6"/>
  <c r="AY130" i="6" s="1"/>
  <c r="AX126" i="6"/>
  <c r="AY126" i="6" s="1"/>
  <c r="AX122" i="6"/>
  <c r="AY122" i="6" s="1"/>
  <c r="AX118" i="6"/>
  <c r="AY118" i="6" s="1"/>
  <c r="AX114" i="6"/>
  <c r="AY114" i="6" s="1"/>
  <c r="AX110" i="6"/>
  <c r="AY110" i="6" s="1"/>
  <c r="AX106" i="6"/>
  <c r="AY106" i="6" s="1"/>
  <c r="AX102" i="6"/>
  <c r="AY102" i="6" s="1"/>
  <c r="BB102" i="6" s="1"/>
  <c r="BC102" i="6" s="1"/>
  <c r="AX98" i="6"/>
  <c r="AY98" i="6" s="1"/>
  <c r="AX94" i="6"/>
  <c r="AY94" i="6" s="1"/>
  <c r="AX90" i="6"/>
  <c r="AY90" i="6" s="1"/>
  <c r="AX86" i="6"/>
  <c r="AY86" i="6" s="1"/>
  <c r="AX82" i="6"/>
  <c r="AY82" i="6" s="1"/>
  <c r="AX78" i="6"/>
  <c r="AY78" i="6" s="1"/>
  <c r="AX74" i="6"/>
  <c r="AY74" i="6" s="1"/>
  <c r="AX70" i="6"/>
  <c r="AY70" i="6" s="1"/>
  <c r="BB70" i="6" s="1"/>
  <c r="BC70" i="6" s="1"/>
  <c r="AX66" i="6"/>
  <c r="AY66" i="6" s="1"/>
  <c r="AX62" i="6"/>
  <c r="AY62" i="6" s="1"/>
  <c r="AX58" i="6"/>
  <c r="AY58" i="6" s="1"/>
  <c r="AX54" i="6"/>
  <c r="AY54" i="6" s="1"/>
  <c r="AX50" i="6"/>
  <c r="AY50" i="6" s="1"/>
  <c r="AX46" i="6"/>
  <c r="AY46" i="6" s="1"/>
  <c r="AX42" i="6"/>
  <c r="AY42" i="6" s="1"/>
  <c r="AX38" i="6"/>
  <c r="AY38" i="6" s="1"/>
  <c r="BB38" i="6" s="1"/>
  <c r="BC38" i="6" s="1"/>
  <c r="AX34" i="6"/>
  <c r="AY34" i="6" s="1"/>
  <c r="AX30" i="6"/>
  <c r="AY30" i="6" s="1"/>
  <c r="BB30" i="6" s="1"/>
  <c r="BC30" i="6" s="1"/>
  <c r="AX26" i="6"/>
  <c r="AY26" i="6" s="1"/>
  <c r="BB26" i="6" s="1"/>
  <c r="BC26" i="6" s="1"/>
  <c r="AX22" i="6"/>
  <c r="AY22" i="6" s="1"/>
  <c r="AX18" i="6"/>
  <c r="AY18" i="6" s="1"/>
  <c r="BB18" i="6" s="1"/>
  <c r="BC18" i="6" s="1"/>
  <c r="AX14" i="6"/>
  <c r="AY14" i="6" s="1"/>
  <c r="AX10" i="6"/>
  <c r="AY10" i="6" s="1"/>
  <c r="AJ291" i="10"/>
  <c r="AK291" i="10" s="1"/>
  <c r="AJ265" i="10"/>
  <c r="AK265" i="10" s="1"/>
  <c r="AJ274" i="10"/>
  <c r="AK274" i="10" s="1"/>
  <c r="AJ236" i="10"/>
  <c r="AK236" i="10" s="1"/>
  <c r="AJ186" i="10"/>
  <c r="AK186" i="10" s="1"/>
  <c r="AJ188" i="10"/>
  <c r="AK188" i="10" s="1"/>
  <c r="AJ166" i="10"/>
  <c r="AK166" i="10" s="1"/>
  <c r="AJ91" i="10"/>
  <c r="AK91" i="10" s="1"/>
  <c r="AJ112" i="10"/>
  <c r="AK112" i="10" s="1"/>
  <c r="AJ105" i="10"/>
  <c r="AK105" i="10" s="1"/>
  <c r="AJ317" i="10"/>
  <c r="AK317" i="10" s="1"/>
  <c r="AJ313" i="10"/>
  <c r="AK313" i="10" s="1"/>
  <c r="AJ293" i="10"/>
  <c r="AK293" i="10" s="1"/>
  <c r="AJ267" i="10"/>
  <c r="AK267" i="10" s="1"/>
  <c r="AJ256" i="10"/>
  <c r="AK256" i="10" s="1"/>
  <c r="AJ205" i="10"/>
  <c r="AK205" i="10" s="1"/>
  <c r="AJ199" i="10"/>
  <c r="AK199" i="10" s="1"/>
  <c r="AJ149" i="10"/>
  <c r="AK149" i="10" s="1"/>
  <c r="AJ132" i="10"/>
  <c r="AK132" i="10" s="1"/>
  <c r="AJ110" i="10"/>
  <c r="AK110" i="10" s="1"/>
  <c r="AJ85" i="10"/>
  <c r="AK85" i="10" s="1"/>
  <c r="AJ75" i="10"/>
  <c r="AK75" i="10" s="1"/>
  <c r="AJ64" i="10"/>
  <c r="AK64" i="10" s="1"/>
  <c r="AJ53" i="10"/>
  <c r="AK53" i="10" s="1"/>
  <c r="AJ40" i="10"/>
  <c r="AK40" i="10" s="1"/>
  <c r="AJ306" i="10"/>
  <c r="AK306" i="10" s="1"/>
  <c r="AJ302" i="10"/>
  <c r="AK302" i="10" s="1"/>
  <c r="AJ268" i="10"/>
  <c r="AK268" i="10" s="1"/>
  <c r="AJ229" i="10"/>
  <c r="AK229" i="10" s="1"/>
  <c r="AJ197" i="10"/>
  <c r="AK197" i="10" s="1"/>
  <c r="AJ175" i="10"/>
  <c r="AK175" i="10" s="1"/>
  <c r="AJ164" i="10"/>
  <c r="AK164" i="10" s="1"/>
  <c r="AJ144" i="10"/>
  <c r="AK144" i="10" s="1"/>
  <c r="AJ130" i="10"/>
  <c r="AK130" i="10" s="1"/>
  <c r="AJ111" i="10"/>
  <c r="AK111" i="10" s="1"/>
  <c r="AJ48" i="10"/>
  <c r="AK48" i="10" s="1"/>
  <c r="AJ33" i="10"/>
  <c r="AK33" i="10" s="1"/>
  <c r="AJ23" i="10"/>
  <c r="AK23" i="10" s="1"/>
  <c r="AJ319" i="10"/>
  <c r="AK319" i="10" s="1"/>
  <c r="AJ308" i="10"/>
  <c r="AK308" i="10" s="1"/>
  <c r="AJ286" i="10"/>
  <c r="AK286" i="10" s="1"/>
  <c r="AJ251" i="10"/>
  <c r="AK251" i="10" s="1"/>
  <c r="AJ285" i="10"/>
  <c r="AK285" i="10" s="1"/>
  <c r="AJ257" i="10"/>
  <c r="AK257" i="10" s="1"/>
  <c r="AJ243" i="10"/>
  <c r="AK243" i="10" s="1"/>
  <c r="AJ222" i="10"/>
  <c r="AK222" i="10" s="1"/>
  <c r="AJ187" i="10"/>
  <c r="AK187" i="10" s="1"/>
  <c r="AJ182" i="10"/>
  <c r="AK182" i="10" s="1"/>
  <c r="AJ102" i="10"/>
  <c r="AK102" i="10" s="1"/>
  <c r="AJ126" i="10"/>
  <c r="AK126" i="10" s="1"/>
  <c r="AJ106" i="10"/>
  <c r="AK106" i="10" s="1"/>
  <c r="AJ88" i="10"/>
  <c r="AK88" i="10" s="1"/>
  <c r="AJ316" i="10"/>
  <c r="AK316" i="10" s="1"/>
  <c r="AJ299" i="10"/>
  <c r="AK299" i="10" s="1"/>
  <c r="AJ279" i="10"/>
  <c r="AK279" i="10" s="1"/>
  <c r="AJ263" i="10"/>
  <c r="AK263" i="10" s="1"/>
  <c r="AJ255" i="10"/>
  <c r="AK255" i="10" s="1"/>
  <c r="AJ233" i="10"/>
  <c r="AK233" i="10" s="1"/>
  <c r="AJ204" i="10"/>
  <c r="AK204" i="10" s="1"/>
  <c r="AJ190" i="10"/>
  <c r="AK190" i="10" s="1"/>
  <c r="AJ178" i="10"/>
  <c r="AK178" i="10" s="1"/>
  <c r="AJ148" i="10"/>
  <c r="AK148" i="10" s="1"/>
  <c r="AJ131" i="10"/>
  <c r="AK131" i="10" s="1"/>
  <c r="AJ101" i="10"/>
  <c r="AK101" i="10" s="1"/>
  <c r="AJ84" i="10"/>
  <c r="AK84" i="10" s="1"/>
  <c r="AJ74" i="10"/>
  <c r="AK74" i="10" s="1"/>
  <c r="AJ63" i="10"/>
  <c r="AK63" i="10" s="1"/>
  <c r="AJ52" i="10"/>
  <c r="AK52" i="10" s="1"/>
  <c r="AJ21" i="10"/>
  <c r="AK21" i="10" s="1"/>
  <c r="AJ305" i="10"/>
  <c r="AK305" i="10" s="1"/>
  <c r="AJ297" i="10"/>
  <c r="AK297" i="10" s="1"/>
  <c r="AJ289" i="10"/>
  <c r="AK289" i="10" s="1"/>
  <c r="AJ261" i="10"/>
  <c r="AK261" i="10" s="1"/>
  <c r="AJ217" i="10"/>
  <c r="AK217" i="10" s="1"/>
  <c r="AJ196" i="10"/>
  <c r="AK196" i="10" s="1"/>
  <c r="AJ174" i="10"/>
  <c r="AK174" i="10" s="1"/>
  <c r="AJ163" i="10"/>
  <c r="AK163" i="10" s="1"/>
  <c r="AJ142" i="10"/>
  <c r="AK142" i="10" s="1"/>
  <c r="AJ128" i="10"/>
  <c r="AK128" i="10" s="1"/>
  <c r="AJ93" i="10"/>
  <c r="AK93" i="10" s="1"/>
  <c r="AJ72" i="10"/>
  <c r="AK72" i="10" s="1"/>
  <c r="AJ46" i="10"/>
  <c r="AK46" i="10" s="1"/>
  <c r="AJ29" i="10"/>
  <c r="AK29" i="10" s="1"/>
  <c r="AJ311" i="10"/>
  <c r="AK311" i="10" s="1"/>
  <c r="AJ307" i="10"/>
  <c r="AK307" i="10" s="1"/>
  <c r="AJ284" i="10"/>
  <c r="AK284" i="10" s="1"/>
  <c r="AJ249" i="10"/>
  <c r="AK249" i="10" s="1"/>
  <c r="AJ277" i="10"/>
  <c r="AK277" i="10" s="1"/>
  <c r="AJ282" i="10"/>
  <c r="AK282" i="10" s="1"/>
  <c r="AJ288" i="10"/>
  <c r="AK288" i="10" s="1"/>
  <c r="AJ235" i="10"/>
  <c r="AK235" i="10" s="1"/>
  <c r="AJ218" i="10"/>
  <c r="AK218" i="10" s="1"/>
  <c r="AJ179" i="10"/>
  <c r="AK179" i="10" s="1"/>
  <c r="AJ176" i="10"/>
  <c r="AK176" i="10" s="1"/>
  <c r="AJ98" i="10"/>
  <c r="AK98" i="10" s="1"/>
  <c r="AJ122" i="10"/>
  <c r="AK122" i="10" s="1"/>
  <c r="AJ81" i="10"/>
  <c r="AK81" i="10" s="1"/>
  <c r="AJ82" i="10"/>
  <c r="AK82" i="10" s="1"/>
  <c r="AJ315" i="10"/>
  <c r="AK315" i="10" s="1"/>
  <c r="AJ298" i="10"/>
  <c r="AK298" i="10" s="1"/>
  <c r="AJ276" i="10"/>
  <c r="AK276" i="10" s="1"/>
  <c r="AJ262" i="10"/>
  <c r="AK262" i="10" s="1"/>
  <c r="AJ254" i="10"/>
  <c r="AK254" i="10" s="1"/>
  <c r="AJ232" i="10"/>
  <c r="AK232" i="10" s="1"/>
  <c r="AJ209" i="10"/>
  <c r="AK209" i="10" s="1"/>
  <c r="AJ203" i="10"/>
  <c r="AK203" i="10" s="1"/>
  <c r="AJ189" i="10"/>
  <c r="AK189" i="10" s="1"/>
  <c r="AJ171" i="10"/>
  <c r="AK171" i="10" s="1"/>
  <c r="AJ147" i="10"/>
  <c r="AK147" i="10" s="1"/>
  <c r="AJ121" i="10"/>
  <c r="AK121" i="10" s="1"/>
  <c r="AJ99" i="10"/>
  <c r="AK99" i="10" s="1"/>
  <c r="AJ80" i="10"/>
  <c r="AK80" i="10" s="1"/>
  <c r="AJ73" i="10"/>
  <c r="AK73" i="10" s="1"/>
  <c r="AJ62" i="10"/>
  <c r="AK62" i="10" s="1"/>
  <c r="AJ51" i="10"/>
  <c r="AK51" i="10" s="1"/>
  <c r="AJ20" i="10"/>
  <c r="AK20" i="10" s="1"/>
  <c r="AJ304" i="10"/>
  <c r="AK304" i="10" s="1"/>
  <c r="AJ296" i="10"/>
  <c r="AK296" i="10" s="1"/>
  <c r="AJ280" i="10"/>
  <c r="AK280" i="10" s="1"/>
  <c r="AJ253" i="10"/>
  <c r="AK253" i="10" s="1"/>
  <c r="AJ202" i="10"/>
  <c r="AK202" i="10" s="1"/>
  <c r="AJ193" i="10"/>
  <c r="AK193" i="10" s="1"/>
  <c r="AJ180" i="10"/>
  <c r="AK180" i="10" s="1"/>
  <c r="AJ170" i="10"/>
  <c r="AK170" i="10" s="1"/>
  <c r="AJ150" i="10"/>
  <c r="AK150" i="10" s="1"/>
  <c r="AJ141" i="10"/>
  <c r="AK141" i="10" s="1"/>
  <c r="AJ127" i="10"/>
  <c r="AK127" i="10" s="1"/>
  <c r="AJ83" i="10"/>
  <c r="AK83" i="10" s="1"/>
  <c r="AJ68" i="10"/>
  <c r="AK68" i="10" s="1"/>
  <c r="AJ44" i="10"/>
  <c r="AK44" i="10" s="1"/>
  <c r="AJ27" i="10"/>
  <c r="AK27" i="10" s="1"/>
  <c r="AJ320" i="10"/>
  <c r="AK320" i="10" s="1"/>
  <c r="AJ309" i="10"/>
  <c r="AK309" i="10" s="1"/>
  <c r="AJ259" i="10"/>
  <c r="AK259" i="10" s="1"/>
  <c r="AJ241" i="10"/>
  <c r="AK241" i="10" s="1"/>
  <c r="AJ221" i="10"/>
  <c r="AK221" i="10" s="1"/>
  <c r="AJ215" i="10"/>
  <c r="AK215" i="10" s="1"/>
  <c r="AJ207" i="10"/>
  <c r="AK207" i="10" s="1"/>
  <c r="AJ118" i="10"/>
  <c r="AK118" i="10" s="1"/>
  <c r="AJ103" i="10"/>
  <c r="AK103" i="10" s="1"/>
  <c r="AJ125" i="10"/>
  <c r="AK125" i="10" s="1"/>
  <c r="AJ168" i="10"/>
  <c r="AK168" i="10" s="1"/>
  <c r="AJ159" i="10"/>
  <c r="AK159" i="10" s="1"/>
  <c r="AJ139" i="10"/>
  <c r="AK139" i="10" s="1"/>
  <c r="AJ134" i="10"/>
  <c r="AK134" i="10" s="1"/>
  <c r="AJ61" i="10"/>
  <c r="AK61" i="10" s="1"/>
  <c r="AJ56" i="10"/>
  <c r="AK56" i="10" s="1"/>
  <c r="AJ42" i="10"/>
  <c r="AK42" i="10" s="1"/>
  <c r="AJ37" i="10"/>
  <c r="AK37" i="10" s="1"/>
  <c r="AJ19" i="10"/>
  <c r="AK19" i="10" s="1"/>
  <c r="AJ238" i="10"/>
  <c r="AK238" i="10" s="1"/>
  <c r="AJ185" i="10"/>
  <c r="AK185" i="10" s="1"/>
  <c r="AJ120" i="10"/>
  <c r="AK120" i="10" s="1"/>
  <c r="AJ31" i="10"/>
  <c r="AK31" i="10" s="1"/>
  <c r="AJ273" i="10"/>
  <c r="AK273" i="10" s="1"/>
  <c r="AJ155" i="10"/>
  <c r="AK155" i="10" s="1"/>
  <c r="AJ32" i="10"/>
  <c r="AK32" i="10" s="1"/>
  <c r="AJ264" i="10"/>
  <c r="AK264" i="10" s="1"/>
  <c r="AJ240" i="10"/>
  <c r="AK240" i="10" s="1"/>
  <c r="AJ301" i="10"/>
  <c r="AK301" i="10" s="1"/>
  <c r="AJ271" i="10"/>
  <c r="AK271" i="10" s="1"/>
  <c r="AJ71" i="10"/>
  <c r="AK71" i="10" s="1"/>
  <c r="AJ183" i="10"/>
  <c r="AK183" i="10" s="1"/>
  <c r="AJ109" i="10"/>
  <c r="AK109" i="10" s="1"/>
  <c r="AJ234" i="10"/>
  <c r="AK234" i="10" s="1"/>
  <c r="AJ220" i="10"/>
  <c r="AK220" i="10" s="1"/>
  <c r="AJ212" i="10"/>
  <c r="AK212" i="10" s="1"/>
  <c r="AJ206" i="10"/>
  <c r="AK206" i="10" s="1"/>
  <c r="AJ117" i="10"/>
  <c r="AK117" i="10" s="1"/>
  <c r="AJ100" i="10"/>
  <c r="AK100" i="10" s="1"/>
  <c r="AJ124" i="10"/>
  <c r="AK124" i="10" s="1"/>
  <c r="AJ7" i="10"/>
  <c r="AK7" i="10" s="1"/>
  <c r="AJ162" i="10"/>
  <c r="AK162" i="10" s="1"/>
  <c r="AJ158" i="10"/>
  <c r="AK158" i="10" s="1"/>
  <c r="AJ138" i="10"/>
  <c r="AK138" i="10" s="1"/>
  <c r="AJ133" i="10"/>
  <c r="AK133" i="10" s="1"/>
  <c r="AJ60" i="10"/>
  <c r="AK60" i="10" s="1"/>
  <c r="AJ55" i="10"/>
  <c r="AK55" i="10" s="1"/>
  <c r="AJ41" i="10"/>
  <c r="AK41" i="10" s="1"/>
  <c r="AJ25" i="10"/>
  <c r="AK25" i="10" s="1"/>
  <c r="AJ228" i="10"/>
  <c r="AK228" i="10" s="1"/>
  <c r="AJ181" i="10"/>
  <c r="AK181" i="10" s="1"/>
  <c r="AJ96" i="10"/>
  <c r="AK96" i="10" s="1"/>
  <c r="AJ47" i="10"/>
  <c r="AK47" i="10" s="1"/>
  <c r="AJ194" i="10"/>
  <c r="AK194" i="10" s="1"/>
  <c r="AJ30" i="10"/>
  <c r="AK30" i="10" s="1"/>
  <c r="AJ266" i="10"/>
  <c r="AK266" i="10" s="1"/>
  <c r="AJ214" i="10"/>
  <c r="AK214" i="10" s="1"/>
  <c r="AJ108" i="10"/>
  <c r="AK108" i="10" s="1"/>
  <c r="AJ70" i="10"/>
  <c r="AK70" i="10" s="1"/>
  <c r="AJ252" i="10"/>
  <c r="AK252" i="10" s="1"/>
  <c r="AJ287" i="10"/>
  <c r="AK287" i="10" s="1"/>
  <c r="AJ247" i="10"/>
  <c r="AK247" i="10" s="1"/>
  <c r="AJ67" i="10"/>
  <c r="AK67" i="10" s="1"/>
  <c r="AJ195" i="10"/>
  <c r="AK195" i="10" s="1"/>
  <c r="AJ156" i="10"/>
  <c r="AK156" i="10" s="1"/>
  <c r="AJ94" i="10"/>
  <c r="AK94" i="10" s="1"/>
  <c r="AJ230" i="10"/>
  <c r="AK230" i="10" s="1"/>
  <c r="AJ219" i="10"/>
  <c r="AK219" i="10" s="1"/>
  <c r="AJ211" i="10"/>
  <c r="AK211" i="10" s="1"/>
  <c r="AJ116" i="10"/>
  <c r="AK116" i="10" s="1"/>
  <c r="AJ89" i="10"/>
  <c r="AK89" i="10" s="1"/>
  <c r="AJ123" i="10"/>
  <c r="AK123" i="10" s="1"/>
  <c r="AJ173" i="10"/>
  <c r="AK173" i="10" s="1"/>
  <c r="AJ161" i="10"/>
  <c r="AK161" i="10" s="1"/>
  <c r="AJ157" i="10"/>
  <c r="AK157" i="10" s="1"/>
  <c r="AJ137" i="10"/>
  <c r="AK137" i="10" s="1"/>
  <c r="AJ76" i="10"/>
  <c r="AK76" i="10" s="1"/>
  <c r="AJ59" i="10"/>
  <c r="AK59" i="10" s="1"/>
  <c r="AJ54" i="10"/>
  <c r="AK54" i="10" s="1"/>
  <c r="AJ39" i="10"/>
  <c r="AK39" i="10" s="1"/>
  <c r="AJ13" i="10"/>
  <c r="AK13" i="10" s="1"/>
  <c r="AJ26" i="10"/>
  <c r="AK26" i="10" s="1"/>
  <c r="AJ184" i="10"/>
  <c r="AK184" i="10" s="1"/>
  <c r="AJ224" i="10"/>
  <c r="AK224" i="10" s="1"/>
  <c r="AJ154" i="10"/>
  <c r="AK154" i="10" s="1"/>
  <c r="AJ92" i="10"/>
  <c r="AK92" i="10" s="1"/>
  <c r="AJ43" i="10"/>
  <c r="AK43" i="10" s="1"/>
  <c r="AJ151" i="10"/>
  <c r="AK151" i="10" s="1"/>
  <c r="AJ245" i="10"/>
  <c r="AK245" i="10" s="1"/>
  <c r="AJ198" i="10"/>
  <c r="AK198" i="10" s="1"/>
  <c r="AJ104" i="10"/>
  <c r="AK104" i="10" s="1"/>
  <c r="AJ295" i="10"/>
  <c r="AK295" i="10" s="1"/>
  <c r="AJ246" i="10"/>
  <c r="AK246" i="10" s="1"/>
  <c r="AJ226" i="10"/>
  <c r="AK226" i="10" s="1"/>
  <c r="AJ283" i="10"/>
  <c r="AK283" i="10" s="1"/>
  <c r="AJ227" i="10"/>
  <c r="AK227" i="10" s="1"/>
  <c r="AJ34" i="10"/>
  <c r="AK34" i="10" s="1"/>
  <c r="AJ152" i="10"/>
  <c r="AK152" i="10" s="1"/>
  <c r="AJ45" i="10"/>
  <c r="AK45" i="10" s="1"/>
  <c r="AJ28" i="10"/>
  <c r="AK28" i="10" s="1"/>
  <c r="AJ321" i="10"/>
  <c r="AK321" i="10" s="1"/>
  <c r="AJ310" i="10"/>
  <c r="AK310" i="10" s="1"/>
  <c r="AJ300" i="10"/>
  <c r="AK300" i="10" s="1"/>
  <c r="AJ260" i="10"/>
  <c r="AK260" i="10" s="1"/>
  <c r="AJ244" i="10"/>
  <c r="AK244" i="10" s="1"/>
  <c r="AJ216" i="10"/>
  <c r="AK216" i="10" s="1"/>
  <c r="AJ210" i="10"/>
  <c r="AK210" i="10" s="1"/>
  <c r="AJ107" i="10"/>
  <c r="AK107" i="10" s="1"/>
  <c r="AJ87" i="10"/>
  <c r="AK87" i="10" s="1"/>
  <c r="AJ8" i="10"/>
  <c r="AK8" i="10" s="1"/>
  <c r="AJ22" i="10"/>
  <c r="AK22" i="10" s="1"/>
  <c r="AJ172" i="10"/>
  <c r="AK172" i="10" s="1"/>
  <c r="AJ160" i="10"/>
  <c r="AK160" i="10" s="1"/>
  <c r="AJ143" i="10"/>
  <c r="AK143" i="10" s="1"/>
  <c r="AJ135" i="10"/>
  <c r="AK135" i="10" s="1"/>
  <c r="AJ65" i="10"/>
  <c r="AK65" i="10" s="1"/>
  <c r="AJ58" i="10"/>
  <c r="AK58" i="10" s="1"/>
  <c r="AJ50" i="10"/>
  <c r="AK50" i="10" s="1"/>
  <c r="AJ38" i="10"/>
  <c r="AK38" i="10" s="1"/>
  <c r="AJ14" i="10"/>
  <c r="AK14" i="10" s="1"/>
  <c r="AJ213" i="10"/>
  <c r="AK213" i="10" s="1"/>
  <c r="AJ129" i="10"/>
  <c r="AK129" i="10" s="1"/>
  <c r="AJ77" i="10"/>
  <c r="AK77" i="10" s="1"/>
  <c r="AJ35" i="10"/>
  <c r="AK35" i="10" s="1"/>
  <c r="AJ36" i="10"/>
  <c r="AK36" i="10" s="1"/>
  <c r="AJ312" i="10"/>
  <c r="AK312" i="10" s="1"/>
  <c r="AJ239" i="10"/>
  <c r="AK239" i="10" s="1"/>
  <c r="AJ167" i="10"/>
  <c r="AK167" i="10" s="1"/>
  <c r="AJ69" i="10"/>
  <c r="AK69" i="10" s="1"/>
  <c r="AJ290" i="10"/>
  <c r="AK290" i="10" s="1"/>
  <c r="AJ242" i="10"/>
  <c r="AK242" i="10" s="1"/>
  <c r="AJ275" i="10"/>
  <c r="AK275" i="10" s="1"/>
  <c r="AJ223" i="10"/>
  <c r="AK223" i="10" s="1"/>
  <c r="AJ24" i="10"/>
  <c r="AK24" i="10" s="1"/>
  <c r="AJ136" i="10"/>
  <c r="AK136" i="10" s="1"/>
  <c r="BI307" i="6"/>
  <c r="AE307" i="6"/>
  <c r="AE271" i="6"/>
  <c r="BI271" i="6"/>
  <c r="BI223" i="6"/>
  <c r="AE223" i="6"/>
  <c r="AE175" i="6"/>
  <c r="BI175" i="6"/>
  <c r="BI127" i="6"/>
  <c r="AE127" i="6"/>
  <c r="AE103" i="6"/>
  <c r="BI103" i="6"/>
  <c r="BI19" i="6"/>
  <c r="AE19" i="6"/>
  <c r="AE343" i="6"/>
  <c r="BI343" i="6"/>
  <c r="AE295" i="6"/>
  <c r="BI295" i="6"/>
  <c r="AE247" i="6"/>
  <c r="BI247" i="6"/>
  <c r="AE187" i="6"/>
  <c r="BI187" i="6"/>
  <c r="BI139" i="6"/>
  <c r="AE139" i="6"/>
  <c r="AE79" i="6"/>
  <c r="BI79" i="6"/>
  <c r="BI43" i="6"/>
  <c r="AE43" i="6"/>
  <c r="BI355" i="6"/>
  <c r="AE355" i="6"/>
  <c r="BI319" i="6"/>
  <c r="AE319" i="6"/>
  <c r="BI259" i="6"/>
  <c r="AE259" i="6"/>
  <c r="BI211" i="6"/>
  <c r="AE211" i="6"/>
  <c r="BI163" i="6"/>
  <c r="AE163" i="6"/>
  <c r="BI115" i="6"/>
  <c r="AE115" i="6"/>
  <c r="BI67" i="6"/>
  <c r="AE67" i="6"/>
  <c r="BI31" i="6"/>
  <c r="AE31" i="6"/>
  <c r="BI349" i="6"/>
  <c r="AE349" i="6"/>
  <c r="BI337" i="6"/>
  <c r="AE337" i="6"/>
  <c r="BI313" i="6"/>
  <c r="AE313" i="6"/>
  <c r="BI301" i="6"/>
  <c r="AE301" i="6"/>
  <c r="BI289" i="6"/>
  <c r="AE289" i="6"/>
  <c r="BI277" i="6"/>
  <c r="AE277" i="6"/>
  <c r="BI265" i="6"/>
  <c r="AE265" i="6"/>
  <c r="BI253" i="6"/>
  <c r="AE253" i="6"/>
  <c r="BI241" i="6"/>
  <c r="AE241" i="6"/>
  <c r="BI229" i="6"/>
  <c r="AE229" i="6"/>
  <c r="BI217" i="6"/>
  <c r="AE217" i="6"/>
  <c r="BI205" i="6"/>
  <c r="AE205" i="6"/>
  <c r="BI193" i="6"/>
  <c r="AE193" i="6"/>
  <c r="BI181" i="6"/>
  <c r="AE181" i="6"/>
  <c r="BI169" i="6"/>
  <c r="AE169" i="6"/>
  <c r="BI157" i="6"/>
  <c r="AE157" i="6"/>
  <c r="BI145" i="6"/>
  <c r="AE145" i="6"/>
  <c r="BI133" i="6"/>
  <c r="AE133" i="6"/>
  <c r="BI121" i="6"/>
  <c r="AE121" i="6"/>
  <c r="BI109" i="6"/>
  <c r="AE109" i="6"/>
  <c r="BI97" i="6"/>
  <c r="AE97" i="6"/>
  <c r="BI85" i="6"/>
  <c r="AE85" i="6"/>
  <c r="BI73" i="6"/>
  <c r="AE73" i="6"/>
  <c r="BI61" i="6"/>
  <c r="AE61" i="6"/>
  <c r="BI49" i="6"/>
  <c r="AE49" i="6"/>
  <c r="BI37" i="6"/>
  <c r="AE37" i="6"/>
  <c r="AE25" i="6"/>
  <c r="BI13" i="6"/>
  <c r="AE13" i="6"/>
  <c r="BI331" i="6"/>
  <c r="AE331" i="6"/>
  <c r="AE283" i="6"/>
  <c r="BI283" i="6"/>
  <c r="BI235" i="6"/>
  <c r="AE235" i="6"/>
  <c r="AE199" i="6"/>
  <c r="BI199" i="6"/>
  <c r="AE151" i="6"/>
  <c r="BI151" i="6"/>
  <c r="AE91" i="6"/>
  <c r="BI91" i="6"/>
  <c r="AE55" i="6"/>
  <c r="BI55" i="6"/>
  <c r="BI361" i="6"/>
  <c r="AE361" i="6"/>
  <c r="BI325" i="6"/>
  <c r="AE325" i="6"/>
  <c r="AE7" i="6"/>
  <c r="BI7" i="6"/>
  <c r="AX364" i="6"/>
  <c r="AY364" i="6" s="1"/>
  <c r="AX360" i="6"/>
  <c r="AY360" i="6" s="1"/>
  <c r="BB360" i="6" s="1"/>
  <c r="BC360" i="6" s="1"/>
  <c r="AX356" i="6"/>
  <c r="AY356" i="6" s="1"/>
  <c r="AX352" i="6"/>
  <c r="AY352" i="6" s="1"/>
  <c r="BB352" i="6" s="1"/>
  <c r="BC352" i="6" s="1"/>
  <c r="AX348" i="6"/>
  <c r="AY348" i="6" s="1"/>
  <c r="AX344" i="6"/>
  <c r="AY344" i="6" s="1"/>
  <c r="BB344" i="6" s="1"/>
  <c r="BC344" i="6" s="1"/>
  <c r="AX340" i="6"/>
  <c r="AY340" i="6" s="1"/>
  <c r="AX336" i="6"/>
  <c r="AY336" i="6" s="1"/>
  <c r="BB336" i="6" s="1"/>
  <c r="BC336" i="6" s="1"/>
  <c r="AX332" i="6"/>
  <c r="AY332" i="6" s="1"/>
  <c r="AX328" i="6"/>
  <c r="AY328" i="6" s="1"/>
  <c r="BB328" i="6" s="1"/>
  <c r="BC328" i="6" s="1"/>
  <c r="AX324" i="6"/>
  <c r="AY324" i="6" s="1"/>
  <c r="AX320" i="6"/>
  <c r="AY320" i="6" s="1"/>
  <c r="BB320" i="6" s="1"/>
  <c r="BC320" i="6" s="1"/>
  <c r="AX316" i="6"/>
  <c r="AY316" i="6" s="1"/>
  <c r="AY7" i="6"/>
  <c r="BB7" i="6" s="1"/>
  <c r="BC7" i="6" s="1"/>
  <c r="AX9" i="6"/>
  <c r="AY9" i="6" s="1"/>
  <c r="AX312" i="6"/>
  <c r="AY312" i="6" s="1"/>
  <c r="BB312" i="6" s="1"/>
  <c r="BC312" i="6" s="1"/>
  <c r="AX308" i="6"/>
  <c r="AY308" i="6" s="1"/>
  <c r="AX304" i="6"/>
  <c r="AY304" i="6" s="1"/>
  <c r="AX300" i="6"/>
  <c r="AY300" i="6" s="1"/>
  <c r="AX296" i="6"/>
  <c r="AY296" i="6" s="1"/>
  <c r="BB296" i="6" s="1"/>
  <c r="BC296" i="6" s="1"/>
  <c r="AX292" i="6"/>
  <c r="AY292" i="6" s="1"/>
  <c r="AX288" i="6"/>
  <c r="AY288" i="6" s="1"/>
  <c r="BB288" i="6" s="1"/>
  <c r="BC288" i="6" s="1"/>
  <c r="AX284" i="6"/>
  <c r="AY284" i="6" s="1"/>
  <c r="AX280" i="6"/>
  <c r="AY280" i="6" s="1"/>
  <c r="BB280" i="6" s="1"/>
  <c r="BC280" i="6" s="1"/>
  <c r="AX276" i="6"/>
  <c r="AY276" i="6" s="1"/>
  <c r="AX272" i="6"/>
  <c r="AY272" i="6" s="1"/>
  <c r="BB272" i="6" s="1"/>
  <c r="BC272" i="6" s="1"/>
  <c r="AX268" i="6"/>
  <c r="AY268" i="6" s="1"/>
  <c r="AX264" i="6"/>
  <c r="AY264" i="6" s="1"/>
  <c r="BB264" i="6" s="1"/>
  <c r="BC264" i="6" s="1"/>
  <c r="AX260" i="6"/>
  <c r="AY260" i="6" s="1"/>
  <c r="AX256" i="6"/>
  <c r="AY256" i="6" s="1"/>
  <c r="BB256" i="6" s="1"/>
  <c r="BC256" i="6" s="1"/>
  <c r="AX252" i="6"/>
  <c r="AY252" i="6" s="1"/>
  <c r="AX248" i="6"/>
  <c r="AY248" i="6" s="1"/>
  <c r="BB248" i="6" s="1"/>
  <c r="BC248" i="6" s="1"/>
  <c r="AX244" i="6"/>
  <c r="AY244" i="6" s="1"/>
  <c r="AX240" i="6"/>
  <c r="AY240" i="6" s="1"/>
  <c r="BB240" i="6" s="1"/>
  <c r="BC240" i="6" s="1"/>
  <c r="AX236" i="6"/>
  <c r="AY236" i="6" s="1"/>
  <c r="AX232" i="6"/>
  <c r="AY232" i="6" s="1"/>
  <c r="BB232" i="6" s="1"/>
  <c r="BC232" i="6" s="1"/>
  <c r="AX228" i="6"/>
  <c r="AY228" i="6" s="1"/>
  <c r="AX224" i="6"/>
  <c r="AY224" i="6" s="1"/>
  <c r="BB224" i="6" s="1"/>
  <c r="BC224" i="6" s="1"/>
  <c r="AX220" i="6"/>
  <c r="AY220" i="6" s="1"/>
  <c r="AX216" i="6"/>
  <c r="AY216" i="6" s="1"/>
  <c r="BB216" i="6" s="1"/>
  <c r="BC216" i="6" s="1"/>
  <c r="AX212" i="6"/>
  <c r="AY212" i="6" s="1"/>
  <c r="AX208" i="6"/>
  <c r="AY208" i="6" s="1"/>
  <c r="BB208" i="6" s="1"/>
  <c r="BC208" i="6" s="1"/>
  <c r="AX204" i="6"/>
  <c r="AY204" i="6" s="1"/>
  <c r="AX200" i="6"/>
  <c r="AY200" i="6" s="1"/>
  <c r="BB200" i="6" s="1"/>
  <c r="BC200" i="6" s="1"/>
  <c r="AX196" i="6"/>
  <c r="AY196" i="6" s="1"/>
  <c r="AX192" i="6"/>
  <c r="AY192" i="6" s="1"/>
  <c r="BB192" i="6" s="1"/>
  <c r="BC192" i="6" s="1"/>
  <c r="AX188" i="6"/>
  <c r="AY188" i="6" s="1"/>
  <c r="AX184" i="6"/>
  <c r="AY184" i="6" s="1"/>
  <c r="BB184" i="6" s="1"/>
  <c r="BC184" i="6" s="1"/>
  <c r="AX180" i="6"/>
  <c r="AY180" i="6" s="1"/>
  <c r="AX176" i="6"/>
  <c r="AY176" i="6" s="1"/>
  <c r="BB176" i="6" s="1"/>
  <c r="BC176" i="6" s="1"/>
  <c r="AX172" i="6"/>
  <c r="AY172" i="6" s="1"/>
  <c r="AX168" i="6"/>
  <c r="AY168" i="6" s="1"/>
  <c r="BB168" i="6" s="1"/>
  <c r="BC168" i="6" s="1"/>
  <c r="AX164" i="6"/>
  <c r="AY164" i="6" s="1"/>
  <c r="AX160" i="6"/>
  <c r="AY160" i="6" s="1"/>
  <c r="BB160" i="6" s="1"/>
  <c r="BC160" i="6" s="1"/>
  <c r="AX156" i="6"/>
  <c r="AY156" i="6" s="1"/>
  <c r="AX152" i="6"/>
  <c r="AY152" i="6" s="1"/>
  <c r="BB152" i="6" s="1"/>
  <c r="BC152" i="6" s="1"/>
  <c r="AX148" i="6"/>
  <c r="AY148" i="6" s="1"/>
  <c r="AX144" i="6"/>
  <c r="AY144" i="6" s="1"/>
  <c r="BB144" i="6" s="1"/>
  <c r="BC144" i="6" s="1"/>
  <c r="AX140" i="6"/>
  <c r="AY140" i="6" s="1"/>
  <c r="AX136" i="6"/>
  <c r="AY136" i="6" s="1"/>
  <c r="BB136" i="6" s="1"/>
  <c r="BC136" i="6" s="1"/>
  <c r="AX132" i="6"/>
  <c r="AY132" i="6" s="1"/>
  <c r="AX128" i="6"/>
  <c r="AY128" i="6" s="1"/>
  <c r="BB128" i="6" s="1"/>
  <c r="BC128" i="6" s="1"/>
  <c r="AX124" i="6"/>
  <c r="AY124" i="6" s="1"/>
  <c r="AX120" i="6"/>
  <c r="AY120" i="6" s="1"/>
  <c r="BB120" i="6" s="1"/>
  <c r="BC120" i="6" s="1"/>
  <c r="AX116" i="6"/>
  <c r="AY116" i="6" s="1"/>
  <c r="AX112" i="6"/>
  <c r="AY112" i="6" s="1"/>
  <c r="BB112" i="6" s="1"/>
  <c r="BC112" i="6" s="1"/>
  <c r="AX108" i="6"/>
  <c r="AY108" i="6" s="1"/>
  <c r="AX104" i="6"/>
  <c r="AY104" i="6" s="1"/>
  <c r="BB104" i="6" s="1"/>
  <c r="BC104" i="6" s="1"/>
  <c r="AX100" i="6"/>
  <c r="AY100" i="6" s="1"/>
  <c r="AX96" i="6"/>
  <c r="AY96" i="6" s="1"/>
  <c r="BB96" i="6" s="1"/>
  <c r="BC96" i="6" s="1"/>
  <c r="AX92" i="6"/>
  <c r="AY92" i="6" s="1"/>
  <c r="BB92" i="6" s="1"/>
  <c r="BC92" i="6" s="1"/>
  <c r="AX88" i="6"/>
  <c r="AY88" i="6" s="1"/>
  <c r="BB88" i="6" s="1"/>
  <c r="BC88" i="6" s="1"/>
  <c r="AX84" i="6"/>
  <c r="AY84" i="6" s="1"/>
  <c r="AX80" i="6"/>
  <c r="AY80" i="6" s="1"/>
  <c r="BB80" i="6" s="1"/>
  <c r="BC80" i="6" s="1"/>
  <c r="AX76" i="6"/>
  <c r="AY76" i="6" s="1"/>
  <c r="AX72" i="6"/>
  <c r="AY72" i="6" s="1"/>
  <c r="BB72" i="6" s="1"/>
  <c r="BC72" i="6" s="1"/>
  <c r="AX68" i="6"/>
  <c r="AY68" i="6" s="1"/>
  <c r="AX64" i="6"/>
  <c r="AY64" i="6" s="1"/>
  <c r="BB64" i="6" s="1"/>
  <c r="BC64" i="6" s="1"/>
  <c r="AX60" i="6"/>
  <c r="AY60" i="6" s="1"/>
  <c r="AX56" i="6"/>
  <c r="AY56" i="6" s="1"/>
  <c r="BB56" i="6" s="1"/>
  <c r="BC56" i="6" s="1"/>
  <c r="AX52" i="6"/>
  <c r="AY52" i="6" s="1"/>
  <c r="AX48" i="6"/>
  <c r="AY48" i="6" s="1"/>
  <c r="BB48" i="6" s="1"/>
  <c r="BC48" i="6" s="1"/>
  <c r="AX44" i="6"/>
  <c r="AY44" i="6" s="1"/>
  <c r="AX40" i="6"/>
  <c r="AY40" i="6" s="1"/>
  <c r="BB40" i="6" s="1"/>
  <c r="BC40" i="6" s="1"/>
  <c r="AX36" i="6"/>
  <c r="AY36" i="6" s="1"/>
  <c r="BB36" i="6" s="1"/>
  <c r="BC36" i="6" s="1"/>
  <c r="AX32" i="6"/>
  <c r="AY32" i="6" s="1"/>
  <c r="BB32" i="6" s="1"/>
  <c r="BC32" i="6" s="1"/>
  <c r="AX28" i="6"/>
  <c r="AY28" i="6" s="1"/>
  <c r="BB28" i="6" s="1"/>
  <c r="BC28" i="6" s="1"/>
  <c r="AX24" i="6"/>
  <c r="AY24" i="6" s="1"/>
  <c r="BB24" i="6" s="1"/>
  <c r="BC24" i="6" s="1"/>
  <c r="AX20" i="6"/>
  <c r="AY20" i="6" s="1"/>
  <c r="AX16" i="6"/>
  <c r="AY16" i="6" s="1"/>
  <c r="BB16" i="6" s="1"/>
  <c r="BC16" i="6" s="1"/>
  <c r="AX12" i="6"/>
  <c r="AY12" i="6" s="1"/>
  <c r="AX365" i="6"/>
  <c r="AY365" i="6" s="1"/>
  <c r="BB365" i="6" s="1"/>
  <c r="BC365" i="6" s="1"/>
  <c r="AX361" i="6"/>
  <c r="AY361" i="6" s="1"/>
  <c r="AX357" i="6"/>
  <c r="AY357" i="6" s="1"/>
  <c r="BB357" i="6" s="1"/>
  <c r="BC357" i="6" s="1"/>
  <c r="AX353" i="6"/>
  <c r="AY353" i="6" s="1"/>
  <c r="AX349" i="6"/>
  <c r="AY349" i="6" s="1"/>
  <c r="BB349" i="6" s="1"/>
  <c r="BC349" i="6" s="1"/>
  <c r="AX345" i="6"/>
  <c r="AY345" i="6" s="1"/>
  <c r="AX341" i="6"/>
  <c r="AY341" i="6" s="1"/>
  <c r="BB341" i="6" s="1"/>
  <c r="BC341" i="6" s="1"/>
  <c r="AX337" i="6"/>
  <c r="AY337" i="6" s="1"/>
  <c r="AX333" i="6"/>
  <c r="AY333" i="6" s="1"/>
  <c r="BB333" i="6" s="1"/>
  <c r="BC333" i="6" s="1"/>
  <c r="AX329" i="6"/>
  <c r="AY329" i="6" s="1"/>
  <c r="AX325" i="6"/>
  <c r="AY325" i="6" s="1"/>
  <c r="BB325" i="6" s="1"/>
  <c r="BC325" i="6" s="1"/>
  <c r="AX321" i="6"/>
  <c r="AY321" i="6" s="1"/>
  <c r="AX317" i="6"/>
  <c r="AY317" i="6" s="1"/>
  <c r="BB317" i="6" s="1"/>
  <c r="BC317" i="6" s="1"/>
  <c r="AX313" i="6"/>
  <c r="AY313" i="6" s="1"/>
  <c r="AX309" i="6"/>
  <c r="AY309" i="6" s="1"/>
  <c r="BB309" i="6" s="1"/>
  <c r="BC309" i="6" s="1"/>
  <c r="AX305" i="6"/>
  <c r="AY305" i="6" s="1"/>
  <c r="AX301" i="6"/>
  <c r="AY301" i="6" s="1"/>
  <c r="BB301" i="6" s="1"/>
  <c r="BC301" i="6" s="1"/>
  <c r="AX297" i="6"/>
  <c r="AY297" i="6" s="1"/>
  <c r="BB297" i="6" s="1"/>
  <c r="BC297" i="6" s="1"/>
  <c r="AX293" i="6"/>
  <c r="AY293" i="6" s="1"/>
  <c r="BB293" i="6" s="1"/>
  <c r="BC293" i="6" s="1"/>
  <c r="AX289" i="6"/>
  <c r="AY289" i="6" s="1"/>
  <c r="AX285" i="6"/>
  <c r="AY285" i="6" s="1"/>
  <c r="BB285" i="6" s="1"/>
  <c r="BC285" i="6" s="1"/>
  <c r="AX281" i="6"/>
  <c r="AY281" i="6" s="1"/>
  <c r="AX277" i="6"/>
  <c r="AY277" i="6" s="1"/>
  <c r="AX273" i="6"/>
  <c r="AY273" i="6" s="1"/>
  <c r="AX269" i="6"/>
  <c r="AY269" i="6" s="1"/>
  <c r="BB269" i="6" s="1"/>
  <c r="BC269" i="6" s="1"/>
  <c r="AX265" i="6"/>
  <c r="AY265" i="6" s="1"/>
  <c r="AX261" i="6"/>
  <c r="AY261" i="6" s="1"/>
  <c r="BB261" i="6" s="1"/>
  <c r="BC261" i="6" s="1"/>
  <c r="AX257" i="6"/>
  <c r="AY257" i="6" s="1"/>
  <c r="AX253" i="6"/>
  <c r="AY253" i="6" s="1"/>
  <c r="BB253" i="6" s="1"/>
  <c r="BC253" i="6" s="1"/>
  <c r="AX249" i="6"/>
  <c r="AY249" i="6" s="1"/>
  <c r="AX245" i="6"/>
  <c r="AY245" i="6" s="1"/>
  <c r="BB245" i="6" s="1"/>
  <c r="BC245" i="6" s="1"/>
  <c r="AX241" i="6"/>
  <c r="AY241" i="6" s="1"/>
  <c r="AX237" i="6"/>
  <c r="AY237" i="6" s="1"/>
  <c r="BB237" i="6" s="1"/>
  <c r="BC237" i="6" s="1"/>
  <c r="AX233" i="6"/>
  <c r="AY233" i="6" s="1"/>
  <c r="BB233" i="6" s="1"/>
  <c r="BC233" i="6" s="1"/>
  <c r="AX229" i="6"/>
  <c r="AY229" i="6" s="1"/>
  <c r="BB229" i="6" s="1"/>
  <c r="BC229" i="6" s="1"/>
  <c r="AX225" i="6"/>
  <c r="AY225" i="6" s="1"/>
  <c r="AX221" i="6"/>
  <c r="AY221" i="6" s="1"/>
  <c r="BB221" i="6" s="1"/>
  <c r="BC221" i="6" s="1"/>
  <c r="AX217" i="6"/>
  <c r="AY217" i="6" s="1"/>
  <c r="AX213" i="6"/>
  <c r="AY213" i="6" s="1"/>
  <c r="BB213" i="6" s="1"/>
  <c r="BC213" i="6" s="1"/>
  <c r="AX209" i="6"/>
  <c r="AY209" i="6" s="1"/>
  <c r="AX205" i="6"/>
  <c r="AY205" i="6" s="1"/>
  <c r="BB205" i="6" s="1"/>
  <c r="BC205" i="6" s="1"/>
  <c r="AX201" i="6"/>
  <c r="AY201" i="6" s="1"/>
  <c r="AX197" i="6"/>
  <c r="AY197" i="6" s="1"/>
  <c r="BB197" i="6" s="1"/>
  <c r="BC197" i="6" s="1"/>
  <c r="AX193" i="6"/>
  <c r="AY193" i="6" s="1"/>
  <c r="AX189" i="6"/>
  <c r="AY189" i="6" s="1"/>
  <c r="BB189" i="6" s="1"/>
  <c r="BC189" i="6" s="1"/>
  <c r="AX185" i="6"/>
  <c r="AY185" i="6" s="1"/>
  <c r="AX181" i="6"/>
  <c r="AY181" i="6" s="1"/>
  <c r="BB181" i="6" s="1"/>
  <c r="BC181" i="6" s="1"/>
  <c r="AX177" i="6"/>
  <c r="AY177" i="6" s="1"/>
  <c r="AX173" i="6"/>
  <c r="AY173" i="6" s="1"/>
  <c r="BB173" i="6" s="1"/>
  <c r="BC173" i="6" s="1"/>
  <c r="AX169" i="6"/>
  <c r="AY169" i="6" s="1"/>
  <c r="BB169" i="6" s="1"/>
  <c r="BC169" i="6" s="1"/>
  <c r="AX165" i="6"/>
  <c r="AY165" i="6" s="1"/>
  <c r="BB165" i="6" s="1"/>
  <c r="BC165" i="6" s="1"/>
  <c r="AX161" i="6"/>
  <c r="AY161" i="6" s="1"/>
  <c r="AX157" i="6"/>
  <c r="AY157" i="6" s="1"/>
  <c r="BB157" i="6" s="1"/>
  <c r="BC157" i="6" s="1"/>
  <c r="AX153" i="6"/>
  <c r="AY153" i="6" s="1"/>
  <c r="AX149" i="6"/>
  <c r="AY149" i="6" s="1"/>
  <c r="BB149" i="6" s="1"/>
  <c r="BC149" i="6" s="1"/>
  <c r="AX145" i="6"/>
  <c r="AY145" i="6" s="1"/>
  <c r="AX141" i="6"/>
  <c r="AY141" i="6" s="1"/>
  <c r="BB141" i="6" s="1"/>
  <c r="BC141" i="6" s="1"/>
  <c r="AX137" i="6"/>
  <c r="AY137" i="6" s="1"/>
  <c r="AX133" i="6"/>
  <c r="AY133" i="6" s="1"/>
  <c r="BB133" i="6" s="1"/>
  <c r="BC133" i="6" s="1"/>
  <c r="AX129" i="6"/>
  <c r="AY129" i="6" s="1"/>
  <c r="AX125" i="6"/>
  <c r="AY125" i="6" s="1"/>
  <c r="BB125" i="6" s="1"/>
  <c r="BC125" i="6" s="1"/>
  <c r="AX121" i="6"/>
  <c r="AY121" i="6" s="1"/>
  <c r="AX117" i="6"/>
  <c r="AY117" i="6" s="1"/>
  <c r="BB117" i="6" s="1"/>
  <c r="BC117" i="6" s="1"/>
  <c r="AX113" i="6"/>
  <c r="AY113" i="6" s="1"/>
  <c r="AX109" i="6"/>
  <c r="AY109" i="6" s="1"/>
  <c r="BB109" i="6" s="1"/>
  <c r="BC109" i="6" s="1"/>
  <c r="AX105" i="6"/>
  <c r="AY105" i="6" s="1"/>
  <c r="AX101" i="6"/>
  <c r="AY101" i="6" s="1"/>
  <c r="BB101" i="6" s="1"/>
  <c r="BC101" i="6" s="1"/>
  <c r="AX97" i="6"/>
  <c r="AY97" i="6" s="1"/>
  <c r="AX93" i="6"/>
  <c r="AY93" i="6" s="1"/>
  <c r="BB93" i="6" s="1"/>
  <c r="BC93" i="6" s="1"/>
  <c r="AX89" i="6"/>
  <c r="AY89" i="6" s="1"/>
  <c r="AX85" i="6"/>
  <c r="AY85" i="6" s="1"/>
  <c r="BB85" i="6" s="1"/>
  <c r="BC85" i="6" s="1"/>
  <c r="AX81" i="6"/>
  <c r="AY81" i="6" s="1"/>
  <c r="AX77" i="6"/>
  <c r="AY77" i="6" s="1"/>
  <c r="BB77" i="6" s="1"/>
  <c r="BC77" i="6" s="1"/>
  <c r="AX73" i="6"/>
  <c r="AY73" i="6" s="1"/>
  <c r="AX69" i="6"/>
  <c r="AY69" i="6" s="1"/>
  <c r="BB69" i="6" s="1"/>
  <c r="BC69" i="6" s="1"/>
  <c r="AX65" i="6"/>
  <c r="AY65" i="6" s="1"/>
  <c r="AX61" i="6"/>
  <c r="AY61" i="6" s="1"/>
  <c r="BB61" i="6" s="1"/>
  <c r="BC61" i="6" s="1"/>
  <c r="AX57" i="6"/>
  <c r="AY57" i="6" s="1"/>
  <c r="AX53" i="6"/>
  <c r="AY53" i="6" s="1"/>
  <c r="BB53" i="6" s="1"/>
  <c r="BC53" i="6" s="1"/>
  <c r="AX49" i="6"/>
  <c r="AY49" i="6" s="1"/>
  <c r="AX45" i="6"/>
  <c r="AY45" i="6" s="1"/>
  <c r="BB45" i="6" s="1"/>
  <c r="BC45" i="6" s="1"/>
  <c r="AX41" i="6"/>
  <c r="AY41" i="6" s="1"/>
  <c r="BB41" i="6" s="1"/>
  <c r="BC41" i="6" s="1"/>
  <c r="AX37" i="6"/>
  <c r="AY37" i="6" s="1"/>
  <c r="BB37" i="6" s="1"/>
  <c r="BC37" i="6" s="1"/>
  <c r="AX33" i="6"/>
  <c r="AY33" i="6" s="1"/>
  <c r="BB33" i="6" s="1"/>
  <c r="BC33" i="6" s="1"/>
  <c r="AX29" i="6"/>
  <c r="AY29" i="6" s="1"/>
  <c r="BB29" i="6" s="1"/>
  <c r="BC29" i="6" s="1"/>
  <c r="AX25" i="6"/>
  <c r="AY25" i="6" s="1"/>
  <c r="BB25" i="6" s="1"/>
  <c r="BC25" i="6" s="1"/>
  <c r="AX21" i="6"/>
  <c r="AY21" i="6" s="1"/>
  <c r="BB21" i="6" s="1"/>
  <c r="BC21" i="6" s="1"/>
  <c r="AX17" i="6"/>
  <c r="AY17" i="6" s="1"/>
  <c r="AX13" i="6"/>
  <c r="AY13" i="6" s="1"/>
  <c r="BB13" i="6" s="1"/>
  <c r="BC13" i="6" s="1"/>
  <c r="AX8" i="6"/>
  <c r="BB363" i="6"/>
  <c r="BC363" i="6" s="1"/>
  <c r="BB359" i="6"/>
  <c r="BC359" i="6" s="1"/>
  <c r="BB355" i="6"/>
  <c r="BC355" i="6" s="1"/>
  <c r="BB351" i="6"/>
  <c r="BC351" i="6" s="1"/>
  <c r="BB347" i="6"/>
  <c r="BC347" i="6" s="1"/>
  <c r="BB343" i="6"/>
  <c r="BC343" i="6" s="1"/>
  <c r="BB339" i="6"/>
  <c r="BC339" i="6" s="1"/>
  <c r="BB335" i="6"/>
  <c r="BC335" i="6" s="1"/>
  <c r="BB331" i="6"/>
  <c r="BC331" i="6" s="1"/>
  <c r="BB327" i="6"/>
  <c r="BC327" i="6" s="1"/>
  <c r="BB323" i="6"/>
  <c r="BC323" i="6" s="1"/>
  <c r="BB319" i="6"/>
  <c r="BC319" i="6" s="1"/>
  <c r="BB315" i="6"/>
  <c r="BC315" i="6" s="1"/>
  <c r="BB311" i="6"/>
  <c r="BC311" i="6" s="1"/>
  <c r="BB307" i="6"/>
  <c r="BC307" i="6" s="1"/>
  <c r="BB303" i="6"/>
  <c r="BC303" i="6" s="1"/>
  <c r="BB299" i="6"/>
  <c r="BC299" i="6" s="1"/>
  <c r="BB295" i="6"/>
  <c r="BC295" i="6" s="1"/>
  <c r="BB291" i="6"/>
  <c r="BC291" i="6" s="1"/>
  <c r="BB287" i="6"/>
  <c r="BC287" i="6" s="1"/>
  <c r="BB283" i="6"/>
  <c r="BC283" i="6" s="1"/>
  <c r="BB279" i="6"/>
  <c r="BC279" i="6" s="1"/>
  <c r="BB275" i="6"/>
  <c r="BC275" i="6" s="1"/>
  <c r="BB271" i="6"/>
  <c r="BC271" i="6" s="1"/>
  <c r="BB267" i="6"/>
  <c r="BC267" i="6" s="1"/>
  <c r="BB263" i="6"/>
  <c r="BC263" i="6" s="1"/>
  <c r="BB259" i="6"/>
  <c r="BC259" i="6" s="1"/>
  <c r="BB255" i="6"/>
  <c r="BC255" i="6" s="1"/>
  <c r="BB251" i="6"/>
  <c r="BC251" i="6" s="1"/>
  <c r="BB247" i="6"/>
  <c r="BC247" i="6" s="1"/>
  <c r="BB243" i="6"/>
  <c r="BC243" i="6" s="1"/>
  <c r="BB239" i="6"/>
  <c r="BC239" i="6" s="1"/>
  <c r="BB235" i="6"/>
  <c r="BC235" i="6" s="1"/>
  <c r="BB231" i="6"/>
  <c r="BC231" i="6" s="1"/>
  <c r="BB227" i="6"/>
  <c r="BC227" i="6" s="1"/>
  <c r="BB223" i="6"/>
  <c r="BC223" i="6" s="1"/>
  <c r="BB219" i="6"/>
  <c r="BC219" i="6" s="1"/>
  <c r="BB215" i="6"/>
  <c r="BC215" i="6" s="1"/>
  <c r="BB211" i="6"/>
  <c r="BC211" i="6" s="1"/>
  <c r="BB207" i="6"/>
  <c r="BC207" i="6" s="1"/>
  <c r="BB203" i="6"/>
  <c r="BC203" i="6" s="1"/>
  <c r="BB199" i="6"/>
  <c r="BC199" i="6" s="1"/>
  <c r="BB195" i="6"/>
  <c r="BC195" i="6" s="1"/>
  <c r="BB191" i="6"/>
  <c r="BC191" i="6" s="1"/>
  <c r="BB187" i="6"/>
  <c r="BC187" i="6" s="1"/>
  <c r="BB183" i="6"/>
  <c r="BC183" i="6" s="1"/>
  <c r="BB179" i="6"/>
  <c r="BC179" i="6" s="1"/>
  <c r="BB175" i="6"/>
  <c r="BC175" i="6" s="1"/>
  <c r="BB171" i="6"/>
  <c r="BC171" i="6" s="1"/>
  <c r="BB167" i="6"/>
  <c r="BC167" i="6" s="1"/>
  <c r="BB163" i="6"/>
  <c r="BC163" i="6" s="1"/>
  <c r="BB159" i="6"/>
  <c r="BC159" i="6" s="1"/>
  <c r="BB155" i="6"/>
  <c r="BC155" i="6" s="1"/>
  <c r="BB151" i="6"/>
  <c r="BC151" i="6" s="1"/>
  <c r="BB147" i="6"/>
  <c r="BC147" i="6" s="1"/>
  <c r="BB143" i="6"/>
  <c r="BC143" i="6" s="1"/>
  <c r="BB139" i="6"/>
  <c r="BC139" i="6" s="1"/>
  <c r="BB135" i="6"/>
  <c r="BC135" i="6" s="1"/>
  <c r="BB131" i="6"/>
  <c r="BC131" i="6" s="1"/>
  <c r="BB127" i="6"/>
  <c r="BC127" i="6" s="1"/>
  <c r="BB123" i="6"/>
  <c r="BC123" i="6" s="1"/>
  <c r="BB119" i="6"/>
  <c r="BC119" i="6" s="1"/>
  <c r="BB115" i="6"/>
  <c r="BC115" i="6" s="1"/>
  <c r="BB111" i="6"/>
  <c r="BC111" i="6" s="1"/>
  <c r="BB107" i="6"/>
  <c r="BC107" i="6" s="1"/>
  <c r="BB103" i="6"/>
  <c r="BC103" i="6" s="1"/>
  <c r="BB99" i="6"/>
  <c r="BC99" i="6" s="1"/>
  <c r="BB95" i="6"/>
  <c r="BC95" i="6" s="1"/>
  <c r="BB87" i="6"/>
  <c r="BC87" i="6" s="1"/>
  <c r="BB83" i="6"/>
  <c r="BC83" i="6" s="1"/>
  <c r="BB79" i="6"/>
  <c r="BC79" i="6" s="1"/>
  <c r="BB75" i="6"/>
  <c r="BC75" i="6" s="1"/>
  <c r="BB71" i="6"/>
  <c r="BC71" i="6" s="1"/>
  <c r="BB67" i="6"/>
  <c r="BC67" i="6" s="1"/>
  <c r="BB63" i="6"/>
  <c r="BC63" i="6" s="1"/>
  <c r="BB59" i="6"/>
  <c r="BC59" i="6" s="1"/>
  <c r="BB55" i="6"/>
  <c r="BC55" i="6" s="1"/>
  <c r="BB51" i="6"/>
  <c r="BC51" i="6" s="1"/>
  <c r="BB47" i="6"/>
  <c r="BC47" i="6" s="1"/>
  <c r="BB43" i="6"/>
  <c r="BC43" i="6" s="1"/>
  <c r="BB39" i="6"/>
  <c r="BC39" i="6" s="1"/>
  <c r="BB35" i="6"/>
  <c r="BC35" i="6" s="1"/>
  <c r="BB31" i="6"/>
  <c r="BC31" i="6" s="1"/>
  <c r="BB23" i="6"/>
  <c r="BC23" i="6" s="1"/>
  <c r="BB19" i="6"/>
  <c r="BC19" i="6" s="1"/>
  <c r="BB15" i="6"/>
  <c r="BC15" i="6" s="1"/>
  <c r="BB366" i="6"/>
  <c r="BC366" i="6" s="1"/>
  <c r="BB362" i="6"/>
  <c r="BC362" i="6" s="1"/>
  <c r="BB354" i="6"/>
  <c r="BC354" i="6" s="1"/>
  <c r="BB350" i="6"/>
  <c r="BC350" i="6" s="1"/>
  <c r="BB346" i="6"/>
  <c r="BC346" i="6" s="1"/>
  <c r="BB342" i="6"/>
  <c r="BC342" i="6" s="1"/>
  <c r="BB338" i="6"/>
  <c r="BC338" i="6" s="1"/>
  <c r="BB334" i="6"/>
  <c r="BC334" i="6" s="1"/>
  <c r="BB330" i="6"/>
  <c r="BC330" i="6" s="1"/>
  <c r="BB322" i="6"/>
  <c r="BC322" i="6" s="1"/>
  <c r="BB318" i="6"/>
  <c r="BC318" i="6" s="1"/>
  <c r="BB314" i="6"/>
  <c r="BC314" i="6" s="1"/>
  <c r="BB310" i="6"/>
  <c r="BC310" i="6" s="1"/>
  <c r="BB306" i="6"/>
  <c r="BC306" i="6" s="1"/>
  <c r="BB302" i="6"/>
  <c r="BC302" i="6" s="1"/>
  <c r="BB298" i="6"/>
  <c r="BC298" i="6" s="1"/>
  <c r="BB290" i="6"/>
  <c r="BC290" i="6" s="1"/>
  <c r="BB286" i="6"/>
  <c r="BC286" i="6" s="1"/>
  <c r="BB282" i="6"/>
  <c r="BC282" i="6" s="1"/>
  <c r="BB278" i="6"/>
  <c r="BC278" i="6" s="1"/>
  <c r="BB274" i="6"/>
  <c r="BC274" i="6" s="1"/>
  <c r="BB270" i="6"/>
  <c r="BC270" i="6" s="1"/>
  <c r="BB266" i="6"/>
  <c r="BC266" i="6" s="1"/>
  <c r="BB258" i="6"/>
  <c r="BC258" i="6" s="1"/>
  <c r="BB254" i="6"/>
  <c r="BC254" i="6" s="1"/>
  <c r="BB250" i="6"/>
  <c r="BC250" i="6" s="1"/>
  <c r="BB246" i="6"/>
  <c r="BC246" i="6" s="1"/>
  <c r="BB242" i="6"/>
  <c r="BC242" i="6" s="1"/>
  <c r="BB238" i="6"/>
  <c r="BC238" i="6" s="1"/>
  <c r="BB234" i="6"/>
  <c r="BC234" i="6" s="1"/>
  <c r="BB226" i="6"/>
  <c r="BC226" i="6" s="1"/>
  <c r="BB222" i="6"/>
  <c r="BC222" i="6" s="1"/>
  <c r="BB218" i="6"/>
  <c r="BC218" i="6" s="1"/>
  <c r="BB214" i="6"/>
  <c r="BC214" i="6" s="1"/>
  <c r="BB210" i="6"/>
  <c r="BC210" i="6" s="1"/>
  <c r="BB206" i="6"/>
  <c r="BC206" i="6" s="1"/>
  <c r="BB202" i="6"/>
  <c r="BC202" i="6" s="1"/>
  <c r="BB194" i="6"/>
  <c r="BC194" i="6" s="1"/>
  <c r="BB190" i="6"/>
  <c r="BC190" i="6" s="1"/>
  <c r="BB186" i="6"/>
  <c r="BC186" i="6" s="1"/>
  <c r="BB182" i="6"/>
  <c r="BC182" i="6" s="1"/>
  <c r="BB178" i="6"/>
  <c r="BC178" i="6" s="1"/>
  <c r="BB174" i="6"/>
  <c r="BC174" i="6" s="1"/>
  <c r="BB170" i="6"/>
  <c r="BC170" i="6" s="1"/>
  <c r="BB162" i="6"/>
  <c r="BC162" i="6" s="1"/>
  <c r="BB158" i="6"/>
  <c r="BC158" i="6" s="1"/>
  <c r="BB154" i="6"/>
  <c r="BC154" i="6" s="1"/>
  <c r="BB150" i="6"/>
  <c r="BC150" i="6" s="1"/>
  <c r="BB146" i="6"/>
  <c r="BC146" i="6" s="1"/>
  <c r="BB142" i="6"/>
  <c r="BC142" i="6" s="1"/>
  <c r="BB138" i="6"/>
  <c r="BC138" i="6" s="1"/>
  <c r="BB130" i="6"/>
  <c r="BC130" i="6" s="1"/>
  <c r="BB126" i="6"/>
  <c r="BC126" i="6" s="1"/>
  <c r="BB122" i="6"/>
  <c r="BC122" i="6" s="1"/>
  <c r="BB118" i="6"/>
  <c r="BC118" i="6" s="1"/>
  <c r="BB114" i="6"/>
  <c r="BC114" i="6" s="1"/>
  <c r="BB110" i="6"/>
  <c r="BC110" i="6" s="1"/>
  <c r="BB106" i="6"/>
  <c r="BC106" i="6" s="1"/>
  <c r="BB98" i="6"/>
  <c r="BC98" i="6" s="1"/>
  <c r="BB94" i="6"/>
  <c r="BC94" i="6" s="1"/>
  <c r="BB90" i="6"/>
  <c r="BC90" i="6" s="1"/>
  <c r="BB86" i="6"/>
  <c r="BC86" i="6" s="1"/>
  <c r="BB82" i="6"/>
  <c r="BC82" i="6" s="1"/>
  <c r="BB78" i="6"/>
  <c r="BC78" i="6" s="1"/>
  <c r="BB74" i="6"/>
  <c r="BC74" i="6" s="1"/>
  <c r="BB66" i="6"/>
  <c r="BC66" i="6" s="1"/>
  <c r="BB62" i="6"/>
  <c r="BC62" i="6" s="1"/>
  <c r="BB58" i="6"/>
  <c r="BC58" i="6" s="1"/>
  <c r="BB54" i="6"/>
  <c r="BC54" i="6" s="1"/>
  <c r="BB50" i="6"/>
  <c r="BC50" i="6" s="1"/>
  <c r="BB46" i="6"/>
  <c r="BC46" i="6" s="1"/>
  <c r="BB42" i="6"/>
  <c r="BC42" i="6" s="1"/>
  <c r="BB34" i="6"/>
  <c r="BC34" i="6" s="1"/>
  <c r="BB22" i="6"/>
  <c r="BC22" i="6" s="1"/>
  <c r="BB14" i="6"/>
  <c r="BC14" i="6" s="1"/>
  <c r="BB364" i="6"/>
  <c r="BC364" i="6" s="1"/>
  <c r="BB356" i="6"/>
  <c r="BC356" i="6" s="1"/>
  <c r="BB348" i="6"/>
  <c r="BC348" i="6" s="1"/>
  <c r="BB340" i="6"/>
  <c r="BC340" i="6" s="1"/>
  <c r="BB332" i="6"/>
  <c r="BC332" i="6" s="1"/>
  <c r="BB324" i="6"/>
  <c r="BC324" i="6" s="1"/>
  <c r="BB316" i="6"/>
  <c r="BC316" i="6" s="1"/>
  <c r="BB308" i="6"/>
  <c r="BC308" i="6" s="1"/>
  <c r="BB304" i="6"/>
  <c r="BC304" i="6" s="1"/>
  <c r="BB300" i="6"/>
  <c r="BC300" i="6" s="1"/>
  <c r="BB292" i="6"/>
  <c r="BC292" i="6" s="1"/>
  <c r="BB284" i="6"/>
  <c r="BC284" i="6" s="1"/>
  <c r="BB276" i="6"/>
  <c r="BC276" i="6" s="1"/>
  <c r="BB268" i="6"/>
  <c r="BC268" i="6" s="1"/>
  <c r="BB260" i="6"/>
  <c r="BC260" i="6" s="1"/>
  <c r="BB252" i="6"/>
  <c r="BC252" i="6" s="1"/>
  <c r="BB244" i="6"/>
  <c r="BC244" i="6" s="1"/>
  <c r="BB236" i="6"/>
  <c r="BC236" i="6" s="1"/>
  <c r="BB228" i="6"/>
  <c r="BC228" i="6" s="1"/>
  <c r="BB220" i="6"/>
  <c r="BC220" i="6" s="1"/>
  <c r="BB212" i="6"/>
  <c r="BC212" i="6" s="1"/>
  <c r="BB204" i="6"/>
  <c r="BC204" i="6" s="1"/>
  <c r="BB196" i="6"/>
  <c r="BC196" i="6" s="1"/>
  <c r="BB188" i="6"/>
  <c r="BC188" i="6" s="1"/>
  <c r="BB180" i="6"/>
  <c r="BC180" i="6" s="1"/>
  <c r="BB172" i="6"/>
  <c r="BC172" i="6" s="1"/>
  <c r="BB164" i="6"/>
  <c r="BC164" i="6" s="1"/>
  <c r="BB156" i="6"/>
  <c r="BC156" i="6" s="1"/>
  <c r="BB148" i="6"/>
  <c r="BC148" i="6" s="1"/>
  <c r="BB140" i="6"/>
  <c r="BC140" i="6" s="1"/>
  <c r="BB132" i="6"/>
  <c r="BC132" i="6" s="1"/>
  <c r="BB124" i="6"/>
  <c r="BC124" i="6" s="1"/>
  <c r="BB116" i="6"/>
  <c r="BC116" i="6" s="1"/>
  <c r="BB108" i="6"/>
  <c r="BC108" i="6" s="1"/>
  <c r="BB100" i="6"/>
  <c r="BC100" i="6" s="1"/>
  <c r="BB84" i="6"/>
  <c r="BC84" i="6" s="1"/>
  <c r="BB76" i="6"/>
  <c r="BC76" i="6" s="1"/>
  <c r="BB68" i="6"/>
  <c r="BC68" i="6" s="1"/>
  <c r="BB60" i="6"/>
  <c r="BC60" i="6" s="1"/>
  <c r="BB52" i="6"/>
  <c r="BC52" i="6" s="1"/>
  <c r="BB44" i="6"/>
  <c r="BC44" i="6" s="1"/>
  <c r="BB20" i="6"/>
  <c r="BC20" i="6" s="1"/>
  <c r="BB361" i="6"/>
  <c r="BC361" i="6" s="1"/>
  <c r="BB353" i="6"/>
  <c r="BC353" i="6" s="1"/>
  <c r="BB345" i="6"/>
  <c r="BC345" i="6" s="1"/>
  <c r="BB337" i="6"/>
  <c r="BC337" i="6" s="1"/>
  <c r="BB329" i="6"/>
  <c r="BC329" i="6" s="1"/>
  <c r="BB321" i="6"/>
  <c r="BC321" i="6" s="1"/>
  <c r="BB313" i="6"/>
  <c r="BC313" i="6" s="1"/>
  <c r="BB305" i="6"/>
  <c r="BC305" i="6" s="1"/>
  <c r="BB289" i="6"/>
  <c r="BC289" i="6" s="1"/>
  <c r="BB281" i="6"/>
  <c r="BC281" i="6" s="1"/>
  <c r="BB277" i="6"/>
  <c r="BC277" i="6" s="1"/>
  <c r="BB273" i="6"/>
  <c r="BC273" i="6" s="1"/>
  <c r="BB265" i="6"/>
  <c r="BC265" i="6" s="1"/>
  <c r="BB257" i="6"/>
  <c r="BC257" i="6" s="1"/>
  <c r="BB249" i="6"/>
  <c r="BC249" i="6" s="1"/>
  <c r="BB241" i="6"/>
  <c r="BC241" i="6" s="1"/>
  <c r="BB225" i="6"/>
  <c r="BC225" i="6" s="1"/>
  <c r="BB217" i="6"/>
  <c r="BC217" i="6" s="1"/>
  <c r="BB209" i="6"/>
  <c r="BC209" i="6" s="1"/>
  <c r="BB201" i="6"/>
  <c r="BC201" i="6" s="1"/>
  <c r="BB193" i="6"/>
  <c r="BC193" i="6" s="1"/>
  <c r="BB185" i="6"/>
  <c r="BC185" i="6" s="1"/>
  <c r="BB177" i="6"/>
  <c r="BC177" i="6" s="1"/>
  <c r="BB161" i="6"/>
  <c r="BC161" i="6" s="1"/>
  <c r="BB153" i="6"/>
  <c r="BC153" i="6" s="1"/>
  <c r="BB145" i="6"/>
  <c r="BC145" i="6" s="1"/>
  <c r="BB137" i="6"/>
  <c r="BC137" i="6" s="1"/>
  <c r="BB129" i="6"/>
  <c r="BC129" i="6" s="1"/>
  <c r="BB121" i="6"/>
  <c r="BC121" i="6" s="1"/>
  <c r="BB113" i="6"/>
  <c r="BC113" i="6" s="1"/>
  <c r="BB105" i="6"/>
  <c r="BC105" i="6" s="1"/>
  <c r="BB97" i="6"/>
  <c r="BC97" i="6" s="1"/>
  <c r="BB89" i="6"/>
  <c r="BC89" i="6" s="1"/>
  <c r="BB81" i="6"/>
  <c r="BC81" i="6" s="1"/>
  <c r="BB73" i="6"/>
  <c r="BC73" i="6" s="1"/>
  <c r="BB65" i="6"/>
  <c r="BC65" i="6" s="1"/>
  <c r="BB57" i="6"/>
  <c r="BC57" i="6" s="1"/>
  <c r="BB49" i="6"/>
  <c r="BC49" i="6" s="1"/>
  <c r="BB17" i="6"/>
  <c r="BC17" i="6" s="1"/>
  <c r="BA199" i="12" l="1"/>
  <c r="BB199" i="12" s="1"/>
  <c r="AL211" i="10"/>
  <c r="AM211" i="10" s="1"/>
  <c r="AN215" i="10" s="1"/>
  <c r="AP215" i="10" s="1"/>
  <c r="AL277" i="10"/>
  <c r="AM277" i="10" s="1"/>
  <c r="AN278" i="10" s="1"/>
  <c r="AP278" i="10" s="1"/>
  <c r="AL241" i="10"/>
  <c r="AM241" i="10" s="1"/>
  <c r="AN243" i="10" s="1"/>
  <c r="AP243" i="10" s="1"/>
  <c r="AL199" i="10"/>
  <c r="AM199" i="10" s="1"/>
  <c r="AN201" i="10" s="1"/>
  <c r="AP201" i="10" s="1"/>
  <c r="AL145" i="10"/>
  <c r="AM145" i="10" s="1"/>
  <c r="AN145" i="10" s="1"/>
  <c r="AL43" i="10"/>
  <c r="AM43" i="10" s="1"/>
  <c r="AN48" i="10" s="1"/>
  <c r="AP48" i="10" s="1"/>
  <c r="AL85" i="10"/>
  <c r="AM85" i="10" s="1"/>
  <c r="AN85" i="10" s="1"/>
  <c r="AL307" i="10"/>
  <c r="AM307" i="10" s="1"/>
  <c r="AN309" i="10" s="1"/>
  <c r="AP309" i="10" s="1"/>
  <c r="AL319" i="10"/>
  <c r="AM319" i="10" s="1"/>
  <c r="AL187" i="10"/>
  <c r="AM187" i="10" s="1"/>
  <c r="AN191" i="10" s="1"/>
  <c r="AP191" i="10" s="1"/>
  <c r="AL121" i="10"/>
  <c r="AM121" i="10" s="1"/>
  <c r="AN123" i="10" s="1"/>
  <c r="AP123" i="10" s="1"/>
  <c r="AL163" i="10"/>
  <c r="AM163" i="10" s="1"/>
  <c r="AN165" i="10" s="1"/>
  <c r="AP165" i="10" s="1"/>
  <c r="AL283" i="10"/>
  <c r="AM283" i="10" s="1"/>
  <c r="AN285" i="10" s="1"/>
  <c r="AP285" i="10" s="1"/>
  <c r="AL103" i="10"/>
  <c r="AM103" i="10" s="1"/>
  <c r="AN108" i="10" s="1"/>
  <c r="AP108" i="10" s="1"/>
  <c r="AL247" i="10"/>
  <c r="AM247" i="10" s="1"/>
  <c r="AN249" i="10" s="1"/>
  <c r="AP249" i="10" s="1"/>
  <c r="AL109" i="10"/>
  <c r="AM109" i="10" s="1"/>
  <c r="AN113" i="10" s="1"/>
  <c r="AP113" i="10" s="1"/>
  <c r="AL301" i="10"/>
  <c r="AM301" i="10" s="1"/>
  <c r="AN306" i="10" s="1"/>
  <c r="AP306" i="10" s="1"/>
  <c r="AL133" i="10"/>
  <c r="AM133" i="10" s="1"/>
  <c r="AN136" i="10" s="1"/>
  <c r="AP136" i="10" s="1"/>
  <c r="AL259" i="10"/>
  <c r="AM259" i="10" s="1"/>
  <c r="AN261" i="10" s="1"/>
  <c r="AP261" i="10" s="1"/>
  <c r="AL13" i="10"/>
  <c r="AM13" i="10" s="1"/>
  <c r="AO13" i="10" s="1"/>
  <c r="AQ13" i="10" s="1"/>
  <c r="AL181" i="10"/>
  <c r="AM181" i="10" s="1"/>
  <c r="AN181" i="10" s="1"/>
  <c r="AL115" i="10"/>
  <c r="AM115" i="10" s="1"/>
  <c r="AN116" i="10" s="1"/>
  <c r="AP116" i="10" s="1"/>
  <c r="AL169" i="10"/>
  <c r="AM169" i="10" s="1"/>
  <c r="AN171" i="10" s="1"/>
  <c r="AP171" i="10" s="1"/>
  <c r="AL253" i="10"/>
  <c r="AM253" i="10" s="1"/>
  <c r="AN257" i="10" s="1"/>
  <c r="AP257" i="10" s="1"/>
  <c r="AL175" i="10"/>
  <c r="AM175" i="10" s="1"/>
  <c r="AN180" i="10" s="1"/>
  <c r="AP180" i="10" s="1"/>
  <c r="AL127" i="10"/>
  <c r="AM127" i="10" s="1"/>
  <c r="AN131" i="10" s="1"/>
  <c r="AP131" i="10" s="1"/>
  <c r="AL289" i="10"/>
  <c r="AM289" i="10" s="1"/>
  <c r="AN294" i="10" s="1"/>
  <c r="AP294" i="10" s="1"/>
  <c r="AL313" i="10"/>
  <c r="AM313" i="10" s="1"/>
  <c r="AN316" i="10" s="1"/>
  <c r="AP316" i="10" s="1"/>
  <c r="AL139" i="10"/>
  <c r="AM139" i="10" s="1"/>
  <c r="AN144" i="10" s="1"/>
  <c r="AP144" i="10" s="1"/>
  <c r="AL295" i="10"/>
  <c r="AM295" i="10" s="1"/>
  <c r="AN295" i="10" s="1"/>
  <c r="AP295" i="10" s="1"/>
  <c r="AL97" i="10"/>
  <c r="AM97" i="10" s="1"/>
  <c r="AN97" i="10" s="1"/>
  <c r="AL73" i="10"/>
  <c r="AM73" i="10" s="1"/>
  <c r="AN76" i="10" s="1"/>
  <c r="AP76" i="10" s="1"/>
  <c r="AL49" i="10"/>
  <c r="AM49" i="10" s="1"/>
  <c r="AN54" i="10" s="1"/>
  <c r="AP54" i="10" s="1"/>
  <c r="AL7" i="10"/>
  <c r="AM7" i="10" s="1"/>
  <c r="AL151" i="10"/>
  <c r="AM151" i="10" s="1"/>
  <c r="AN151" i="10" s="1"/>
  <c r="AL55" i="10"/>
  <c r="AM55" i="10" s="1"/>
  <c r="AN58" i="10" s="1"/>
  <c r="AP58" i="10" s="1"/>
  <c r="AL157" i="10"/>
  <c r="AM157" i="10" s="1"/>
  <c r="AN162" i="10" s="1"/>
  <c r="AP162" i="10" s="1"/>
  <c r="AL193" i="10"/>
  <c r="AM193" i="10" s="1"/>
  <c r="AN196" i="10" s="1"/>
  <c r="AP196" i="10" s="1"/>
  <c r="AL61" i="10"/>
  <c r="AM61" i="10" s="1"/>
  <c r="AN66" i="10" s="1"/>
  <c r="AP66" i="10" s="1"/>
  <c r="AL217" i="10"/>
  <c r="AM217" i="10" s="1"/>
  <c r="AN218" i="10" s="1"/>
  <c r="AP218" i="10" s="1"/>
  <c r="AL229" i="10"/>
  <c r="AM229" i="10" s="1"/>
  <c r="AN233" i="10" s="1"/>
  <c r="AP233" i="10" s="1"/>
  <c r="AL91" i="10"/>
  <c r="AM91" i="10" s="1"/>
  <c r="AN96" i="10" s="1"/>
  <c r="AP96" i="10" s="1"/>
  <c r="AL265" i="10"/>
  <c r="AM265" i="10" s="1"/>
  <c r="AN270" i="10" s="1"/>
  <c r="AP270" i="10" s="1"/>
  <c r="AL25" i="10"/>
  <c r="AM25" i="10" s="1"/>
  <c r="AO29" i="10" s="1"/>
  <c r="AQ29" i="10" s="1"/>
  <c r="AL37" i="10"/>
  <c r="AM37" i="10" s="1"/>
  <c r="AN42" i="10" s="1"/>
  <c r="AP42" i="10" s="1"/>
  <c r="AL67" i="10"/>
  <c r="AM67" i="10" s="1"/>
  <c r="AN69" i="10" s="1"/>
  <c r="AP69" i="10" s="1"/>
  <c r="AL19" i="10"/>
  <c r="AM19" i="10" s="1"/>
  <c r="AO23" i="10" s="1"/>
  <c r="AQ23" i="10" s="1"/>
  <c r="AL205" i="10"/>
  <c r="AM205" i="10" s="1"/>
  <c r="AN209" i="10" s="1"/>
  <c r="AP209" i="10" s="1"/>
  <c r="AL235" i="10"/>
  <c r="AM235" i="10" s="1"/>
  <c r="AN239" i="10" s="1"/>
  <c r="AP239" i="10" s="1"/>
  <c r="AL79" i="10"/>
  <c r="AM79" i="10" s="1"/>
  <c r="AN84" i="10" s="1"/>
  <c r="AP84" i="10" s="1"/>
  <c r="AL31" i="10"/>
  <c r="AM31" i="10" s="1"/>
  <c r="AN31" i="10" s="1"/>
  <c r="BD25" i="6"/>
  <c r="BE25" i="6" s="1"/>
  <c r="BF25" i="6" s="1"/>
  <c r="BG25" i="6" s="1"/>
  <c r="BH25" i="6" s="1"/>
  <c r="BJ25" i="6" s="1"/>
  <c r="BK25" i="6" s="1"/>
  <c r="AL271" i="10"/>
  <c r="AM271" i="10" s="1"/>
  <c r="AN276" i="10" s="1"/>
  <c r="AP276" i="10" s="1"/>
  <c r="BA7" i="12"/>
  <c r="BB7" i="12" s="1"/>
  <c r="BD12" i="12" s="1"/>
  <c r="BF12" i="12" s="1"/>
  <c r="BA181" i="12"/>
  <c r="BB181" i="12" s="1"/>
  <c r="BA325" i="12"/>
  <c r="BB325" i="12" s="1"/>
  <c r="BD327" i="12" s="1"/>
  <c r="BF327" i="12" s="1"/>
  <c r="BA307" i="12"/>
  <c r="BB307" i="12" s="1"/>
  <c r="BA97" i="12"/>
  <c r="BB97" i="12" s="1"/>
  <c r="BA13" i="12"/>
  <c r="BB13" i="12" s="1"/>
  <c r="BC14" i="12" s="1"/>
  <c r="BE14" i="12" s="1"/>
  <c r="BA205" i="12"/>
  <c r="BB205" i="12" s="1"/>
  <c r="BC205" i="12" s="1"/>
  <c r="BE205" i="12" s="1"/>
  <c r="BG205" i="12" s="1"/>
  <c r="BA127" i="12"/>
  <c r="BB127" i="12" s="1"/>
  <c r="BA301" i="12"/>
  <c r="BB301" i="12" s="1"/>
  <c r="BD302" i="12" s="1"/>
  <c r="BF302" i="12" s="1"/>
  <c r="BA223" i="12"/>
  <c r="BB223" i="12" s="1"/>
  <c r="BA163" i="12"/>
  <c r="BB163" i="12" s="1"/>
  <c r="BC167" i="12" s="1"/>
  <c r="BE167" i="12" s="1"/>
  <c r="BA31" i="12"/>
  <c r="BB31" i="12" s="1"/>
  <c r="BD9" i="12"/>
  <c r="BF9" i="12" s="1"/>
  <c r="BC8" i="12"/>
  <c r="BE8" i="12" s="1"/>
  <c r="BC9" i="12"/>
  <c r="BE9" i="12" s="1"/>
  <c r="BC12" i="12"/>
  <c r="BE12" i="12" s="1"/>
  <c r="BD182" i="12"/>
  <c r="BF182" i="12" s="1"/>
  <c r="BC182" i="12"/>
  <c r="BE182" i="12" s="1"/>
  <c r="BC181" i="12"/>
  <c r="BE181" i="12" s="1"/>
  <c r="BG181" i="12" s="1"/>
  <c r="BC327" i="12"/>
  <c r="BE327" i="12" s="1"/>
  <c r="BC309" i="12"/>
  <c r="BE309" i="12" s="1"/>
  <c r="BC312" i="12"/>
  <c r="BE312" i="12" s="1"/>
  <c r="BD308" i="12"/>
  <c r="BF308" i="12" s="1"/>
  <c r="BD100" i="12"/>
  <c r="BF100" i="12" s="1"/>
  <c r="BD99" i="12"/>
  <c r="BF99" i="12" s="1"/>
  <c r="BD97" i="12"/>
  <c r="BF97" i="12" s="1"/>
  <c r="BH97" i="12" s="1"/>
  <c r="BD98" i="12"/>
  <c r="BF98" i="12" s="1"/>
  <c r="BC101" i="12"/>
  <c r="BE101" i="12" s="1"/>
  <c r="BD102" i="12"/>
  <c r="BF102" i="12" s="1"/>
  <c r="BC102" i="12"/>
  <c r="BE102" i="12" s="1"/>
  <c r="BC97" i="12"/>
  <c r="BE97" i="12" s="1"/>
  <c r="BG97" i="12" s="1"/>
  <c r="BC99" i="12"/>
  <c r="BE99" i="12" s="1"/>
  <c r="BC100" i="12"/>
  <c r="BE100" i="12" s="1"/>
  <c r="BD101" i="12"/>
  <c r="BF101" i="12" s="1"/>
  <c r="BC98" i="12"/>
  <c r="BE98" i="12" s="1"/>
  <c r="BD18" i="12"/>
  <c r="BF18" i="12" s="1"/>
  <c r="BD14" i="12"/>
  <c r="BF14" i="12" s="1"/>
  <c r="BA121" i="12"/>
  <c r="BB121" i="12" s="1"/>
  <c r="BD209" i="12"/>
  <c r="BF209" i="12" s="1"/>
  <c r="BD205" i="12"/>
  <c r="BF205" i="12" s="1"/>
  <c r="BH205" i="12" s="1"/>
  <c r="BD210" i="12"/>
  <c r="BF210" i="12" s="1"/>
  <c r="BC207" i="12"/>
  <c r="BE207" i="12" s="1"/>
  <c r="BC208" i="12"/>
  <c r="BE208" i="12" s="1"/>
  <c r="BD131" i="12"/>
  <c r="BF131" i="12" s="1"/>
  <c r="BC129" i="12"/>
  <c r="BE129" i="12" s="1"/>
  <c r="BD127" i="12"/>
  <c r="BF127" i="12" s="1"/>
  <c r="BH127" i="12" s="1"/>
  <c r="BA103" i="12"/>
  <c r="BB103" i="12" s="1"/>
  <c r="BC302" i="12"/>
  <c r="BE302" i="12" s="1"/>
  <c r="BC301" i="12"/>
  <c r="BE301" i="12" s="1"/>
  <c r="BG301" i="12" s="1"/>
  <c r="BC306" i="12"/>
  <c r="BE306" i="12" s="1"/>
  <c r="BD225" i="12"/>
  <c r="BF225" i="12" s="1"/>
  <c r="BC223" i="12"/>
  <c r="BE223" i="12" s="1"/>
  <c r="BG223" i="12" s="1"/>
  <c r="BC227" i="12"/>
  <c r="BE227" i="12" s="1"/>
  <c r="BA295" i="12"/>
  <c r="BB295" i="12" s="1"/>
  <c r="BA25" i="12"/>
  <c r="BB25" i="12" s="1"/>
  <c r="BA229" i="12"/>
  <c r="BB229" i="12" s="1"/>
  <c r="BC165" i="12"/>
  <c r="BE165" i="12" s="1"/>
  <c r="BC163" i="12"/>
  <c r="BE163" i="12" s="1"/>
  <c r="BG163" i="12" s="1"/>
  <c r="BA145" i="12"/>
  <c r="BB145" i="12" s="1"/>
  <c r="BA331" i="12"/>
  <c r="BB331" i="12" s="1"/>
  <c r="BA133" i="12"/>
  <c r="BB133" i="12" s="1"/>
  <c r="BC34" i="12"/>
  <c r="BE34" i="12" s="1"/>
  <c r="BC32" i="12"/>
  <c r="BE32" i="12" s="1"/>
  <c r="BD36" i="12"/>
  <c r="BF36" i="12" s="1"/>
  <c r="BA157" i="12"/>
  <c r="BB157" i="12" s="1"/>
  <c r="BA253" i="12"/>
  <c r="BB253" i="12" s="1"/>
  <c r="BA217" i="12"/>
  <c r="BB217" i="12" s="1"/>
  <c r="BA115" i="12"/>
  <c r="BB115" i="12" s="1"/>
  <c r="BA289" i="12"/>
  <c r="BB289" i="12" s="1"/>
  <c r="BA343" i="12"/>
  <c r="BB343" i="12" s="1"/>
  <c r="AL223" i="10"/>
  <c r="AM223" i="10" s="1"/>
  <c r="BA151" i="12"/>
  <c r="BB151" i="12" s="1"/>
  <c r="BA283" i="12"/>
  <c r="BB283" i="12" s="1"/>
  <c r="BA139" i="12"/>
  <c r="BB139" i="12" s="1"/>
  <c r="BA271" i="12"/>
  <c r="BB271" i="12" s="1"/>
  <c r="BA193" i="12"/>
  <c r="BB193" i="12" s="1"/>
  <c r="BA37" i="12"/>
  <c r="BB37" i="12" s="1"/>
  <c r="BA313" i="12"/>
  <c r="BB313" i="12" s="1"/>
  <c r="BA211" i="12"/>
  <c r="BB211" i="12" s="1"/>
  <c r="BA241" i="12"/>
  <c r="BB241" i="12" s="1"/>
  <c r="BA277" i="12"/>
  <c r="BB277" i="12" s="1"/>
  <c r="BA187" i="12"/>
  <c r="BB187" i="12" s="1"/>
  <c r="BA349" i="12"/>
  <c r="BB349" i="12" s="1"/>
  <c r="BA79" i="12"/>
  <c r="BB79" i="12" s="1"/>
  <c r="BA337" i="12"/>
  <c r="BB337" i="12" s="1"/>
  <c r="BA43" i="12"/>
  <c r="BB43" i="12" s="1"/>
  <c r="BA67" i="12"/>
  <c r="BB67" i="12" s="1"/>
  <c r="BA169" i="12"/>
  <c r="BB169" i="12" s="1"/>
  <c r="BA235" i="12"/>
  <c r="BB235" i="12" s="1"/>
  <c r="BA361" i="12"/>
  <c r="BB361" i="12" s="1"/>
  <c r="BA91" i="12"/>
  <c r="BB91" i="12" s="1"/>
  <c r="BA259" i="12"/>
  <c r="BB259" i="12" s="1"/>
  <c r="BA265" i="12"/>
  <c r="BB265" i="12" s="1"/>
  <c r="BA175" i="12"/>
  <c r="BB175" i="12" s="1"/>
  <c r="BD203" i="12"/>
  <c r="BF203" i="12" s="1"/>
  <c r="BD201" i="12"/>
  <c r="BF201" i="12" s="1"/>
  <c r="BC200" i="12"/>
  <c r="BE200" i="12" s="1"/>
  <c r="BC202" i="12"/>
  <c r="BE202" i="12" s="1"/>
  <c r="BC204" i="12"/>
  <c r="BE204" i="12" s="1"/>
  <c r="BD204" i="12"/>
  <c r="BF204" i="12" s="1"/>
  <c r="BC203" i="12"/>
  <c r="BE203" i="12" s="1"/>
  <c r="BC199" i="12"/>
  <c r="BE199" i="12" s="1"/>
  <c r="BG199" i="12" s="1"/>
  <c r="BD199" i="12"/>
  <c r="BF199" i="12" s="1"/>
  <c r="BH199" i="12" s="1"/>
  <c r="BD202" i="12"/>
  <c r="BF202" i="12" s="1"/>
  <c r="BC201" i="12"/>
  <c r="BE201" i="12" s="1"/>
  <c r="BD200" i="12"/>
  <c r="BF200" i="12" s="1"/>
  <c r="BA49" i="12"/>
  <c r="BB49" i="12" s="1"/>
  <c r="BA247" i="12"/>
  <c r="BB247" i="12" s="1"/>
  <c r="BA319" i="12"/>
  <c r="BB319" i="12" s="1"/>
  <c r="BA73" i="12"/>
  <c r="BB73" i="12" s="1"/>
  <c r="BA55" i="12"/>
  <c r="BB55" i="12" s="1"/>
  <c r="BA61" i="12"/>
  <c r="BB61" i="12" s="1"/>
  <c r="BA109" i="12"/>
  <c r="BB109" i="12" s="1"/>
  <c r="BA355" i="12"/>
  <c r="BB355" i="12" s="1"/>
  <c r="BA19" i="12"/>
  <c r="BB19" i="12" s="1"/>
  <c r="BA85" i="12"/>
  <c r="BB85" i="12" s="1"/>
  <c r="AN135" i="10"/>
  <c r="AP135" i="10" s="1"/>
  <c r="AN212" i="10"/>
  <c r="AP212" i="10" s="1"/>
  <c r="BD49" i="6"/>
  <c r="BE49" i="6" s="1"/>
  <c r="BF49" i="6" s="1"/>
  <c r="BG49" i="6" s="1"/>
  <c r="BH49" i="6" s="1"/>
  <c r="BD145" i="6"/>
  <c r="BE145" i="6" s="1"/>
  <c r="BF145" i="6" s="1"/>
  <c r="BG145" i="6" s="1"/>
  <c r="BH145" i="6" s="1"/>
  <c r="BD97" i="6"/>
  <c r="BE97" i="6" s="1"/>
  <c r="BF97" i="6" s="1"/>
  <c r="BG97" i="6" s="1"/>
  <c r="BH97" i="6" s="1"/>
  <c r="BD193" i="6"/>
  <c r="BE193" i="6" s="1"/>
  <c r="BF193" i="6" s="1"/>
  <c r="BG193" i="6" s="1"/>
  <c r="BH193" i="6" s="1"/>
  <c r="BD241" i="6"/>
  <c r="BE241" i="6" s="1"/>
  <c r="BF241" i="6" s="1"/>
  <c r="BG241" i="6" s="1"/>
  <c r="BH241" i="6" s="1"/>
  <c r="BD289" i="6"/>
  <c r="BE289" i="6" s="1"/>
  <c r="BF289" i="6" s="1"/>
  <c r="BG289" i="6" s="1"/>
  <c r="BH289" i="6" s="1"/>
  <c r="BD337" i="6"/>
  <c r="BE337" i="6" s="1"/>
  <c r="BF337" i="6" s="1"/>
  <c r="BG337" i="6" s="1"/>
  <c r="BH337" i="6" s="1"/>
  <c r="AY8" i="6"/>
  <c r="BB8" i="6" s="1"/>
  <c r="BC8" i="6" s="1"/>
  <c r="BD13" i="6"/>
  <c r="BE13" i="6" s="1"/>
  <c r="BD61" i="6"/>
  <c r="BE61" i="6" s="1"/>
  <c r="BF61" i="6" s="1"/>
  <c r="BG61" i="6" s="1"/>
  <c r="BH61" i="6" s="1"/>
  <c r="BD109" i="6"/>
  <c r="BE109" i="6" s="1"/>
  <c r="BF109" i="6" s="1"/>
  <c r="BG109" i="6" s="1"/>
  <c r="BH109" i="6" s="1"/>
  <c r="BD157" i="6"/>
  <c r="BE157" i="6" s="1"/>
  <c r="BF157" i="6" s="1"/>
  <c r="BG157" i="6" s="1"/>
  <c r="BH157" i="6" s="1"/>
  <c r="BD205" i="6"/>
  <c r="BE205" i="6" s="1"/>
  <c r="BF205" i="6" s="1"/>
  <c r="BG205" i="6" s="1"/>
  <c r="BH205" i="6" s="1"/>
  <c r="BD253" i="6"/>
  <c r="BE253" i="6" s="1"/>
  <c r="BF253" i="6" s="1"/>
  <c r="BG253" i="6" s="1"/>
  <c r="BH253" i="6" s="1"/>
  <c r="BD301" i="6"/>
  <c r="BE301" i="6" s="1"/>
  <c r="BF301" i="6" s="1"/>
  <c r="BG301" i="6" s="1"/>
  <c r="BH301" i="6" s="1"/>
  <c r="BD349" i="6"/>
  <c r="BE349" i="6" s="1"/>
  <c r="BF349" i="6" s="1"/>
  <c r="BG349" i="6" s="1"/>
  <c r="BH349" i="6" s="1"/>
  <c r="BD43" i="6"/>
  <c r="BE43" i="6" s="1"/>
  <c r="BF43" i="6" s="1"/>
  <c r="BG43" i="6" s="1"/>
  <c r="BH43" i="6" s="1"/>
  <c r="BD91" i="6"/>
  <c r="BE91" i="6" s="1"/>
  <c r="BF91" i="6" s="1"/>
  <c r="BG91" i="6" s="1"/>
  <c r="BH91" i="6" s="1"/>
  <c r="BD139" i="6"/>
  <c r="BE139" i="6" s="1"/>
  <c r="BF139" i="6" s="1"/>
  <c r="BG139" i="6" s="1"/>
  <c r="BH139" i="6" s="1"/>
  <c r="BD187" i="6"/>
  <c r="BE187" i="6" s="1"/>
  <c r="BF187" i="6" s="1"/>
  <c r="BG187" i="6" s="1"/>
  <c r="BH187" i="6" s="1"/>
  <c r="BD235" i="6"/>
  <c r="BE235" i="6" s="1"/>
  <c r="BF235" i="6" s="1"/>
  <c r="BG235" i="6" s="1"/>
  <c r="BH235" i="6" s="1"/>
  <c r="BD283" i="6"/>
  <c r="BE283" i="6" s="1"/>
  <c r="BF283" i="6" s="1"/>
  <c r="BG283" i="6" s="1"/>
  <c r="BH283" i="6" s="1"/>
  <c r="BD331" i="6"/>
  <c r="BE331" i="6" s="1"/>
  <c r="BF331" i="6" s="1"/>
  <c r="BG331" i="6" s="1"/>
  <c r="BH331" i="6" s="1"/>
  <c r="BD37" i="6"/>
  <c r="BE37" i="6" s="1"/>
  <c r="BF37" i="6" s="1"/>
  <c r="BG37" i="6" s="1"/>
  <c r="BH37" i="6" s="1"/>
  <c r="BD85" i="6"/>
  <c r="BE85" i="6" s="1"/>
  <c r="BF85" i="6" s="1"/>
  <c r="BG85" i="6" s="1"/>
  <c r="BH85" i="6" s="1"/>
  <c r="BD133" i="6"/>
  <c r="BE133" i="6" s="1"/>
  <c r="BF133" i="6" s="1"/>
  <c r="BG133" i="6" s="1"/>
  <c r="BH133" i="6" s="1"/>
  <c r="BD181" i="6"/>
  <c r="BE181" i="6" s="1"/>
  <c r="BF181" i="6" s="1"/>
  <c r="BG181" i="6" s="1"/>
  <c r="BH181" i="6" s="1"/>
  <c r="BD229" i="6"/>
  <c r="BE229" i="6" s="1"/>
  <c r="BF229" i="6" s="1"/>
  <c r="BG229" i="6" s="1"/>
  <c r="BH229" i="6" s="1"/>
  <c r="BD277" i="6"/>
  <c r="BE277" i="6" s="1"/>
  <c r="BF277" i="6" s="1"/>
  <c r="BG277" i="6" s="1"/>
  <c r="BH277" i="6" s="1"/>
  <c r="BD325" i="6"/>
  <c r="BE325" i="6" s="1"/>
  <c r="BF325" i="6" s="1"/>
  <c r="BG325" i="6" s="1"/>
  <c r="BH325" i="6" s="1"/>
  <c r="BD31" i="6"/>
  <c r="BE31" i="6" s="1"/>
  <c r="BF31" i="6" s="1"/>
  <c r="BG31" i="6" s="1"/>
  <c r="BH31" i="6" s="1"/>
  <c r="BD79" i="6"/>
  <c r="BE79" i="6" s="1"/>
  <c r="BF79" i="6" s="1"/>
  <c r="BG79" i="6" s="1"/>
  <c r="BH79" i="6" s="1"/>
  <c r="BD127" i="6"/>
  <c r="BE127" i="6" s="1"/>
  <c r="BF127" i="6" s="1"/>
  <c r="BG127" i="6" s="1"/>
  <c r="BH127" i="6" s="1"/>
  <c r="BD175" i="6"/>
  <c r="BE175" i="6" s="1"/>
  <c r="BF175" i="6" s="1"/>
  <c r="BG175" i="6" s="1"/>
  <c r="BH175" i="6" s="1"/>
  <c r="BD223" i="6"/>
  <c r="BE223" i="6" s="1"/>
  <c r="BF223" i="6" s="1"/>
  <c r="BG223" i="6" s="1"/>
  <c r="BH223" i="6" s="1"/>
  <c r="BD271" i="6"/>
  <c r="BE271" i="6" s="1"/>
  <c r="BF271" i="6" s="1"/>
  <c r="BG271" i="6" s="1"/>
  <c r="BH271" i="6" s="1"/>
  <c r="BD319" i="6"/>
  <c r="BE319" i="6" s="1"/>
  <c r="BF319" i="6" s="1"/>
  <c r="BG319" i="6" s="1"/>
  <c r="BH319" i="6" s="1"/>
  <c r="BD73" i="6"/>
  <c r="BE73" i="6" s="1"/>
  <c r="BF73" i="6" s="1"/>
  <c r="BG73" i="6" s="1"/>
  <c r="BH73" i="6" s="1"/>
  <c r="BD121" i="6"/>
  <c r="BE121" i="6" s="1"/>
  <c r="BF121" i="6" s="1"/>
  <c r="BG121" i="6" s="1"/>
  <c r="BH121" i="6" s="1"/>
  <c r="BD169" i="6"/>
  <c r="BE169" i="6" s="1"/>
  <c r="BF169" i="6" s="1"/>
  <c r="BG169" i="6" s="1"/>
  <c r="BH169" i="6" s="1"/>
  <c r="BD217" i="6"/>
  <c r="BE217" i="6" s="1"/>
  <c r="BF217" i="6" s="1"/>
  <c r="BG217" i="6" s="1"/>
  <c r="BH217" i="6" s="1"/>
  <c r="BD265" i="6"/>
  <c r="BE265" i="6" s="1"/>
  <c r="BF265" i="6" s="1"/>
  <c r="BG265" i="6" s="1"/>
  <c r="BH265" i="6" s="1"/>
  <c r="BD313" i="6"/>
  <c r="BE313" i="6" s="1"/>
  <c r="BF313" i="6" s="1"/>
  <c r="BG313" i="6" s="1"/>
  <c r="BH313" i="6" s="1"/>
  <c r="BD361" i="6"/>
  <c r="BE361" i="6" s="1"/>
  <c r="BF361" i="6" s="1"/>
  <c r="BG361" i="6" s="1"/>
  <c r="BH361" i="6" s="1"/>
  <c r="BD19" i="6"/>
  <c r="BE19" i="6" s="1"/>
  <c r="BF19" i="6" s="1"/>
  <c r="BG19" i="6" s="1"/>
  <c r="BH19" i="6" s="1"/>
  <c r="BD67" i="6"/>
  <c r="BE67" i="6" s="1"/>
  <c r="BF67" i="6" s="1"/>
  <c r="BG67" i="6" s="1"/>
  <c r="BH67" i="6" s="1"/>
  <c r="BD115" i="6"/>
  <c r="BE115" i="6" s="1"/>
  <c r="BF115" i="6" s="1"/>
  <c r="BG115" i="6" s="1"/>
  <c r="BH115" i="6" s="1"/>
  <c r="BD163" i="6"/>
  <c r="BE163" i="6" s="1"/>
  <c r="BF163" i="6" s="1"/>
  <c r="BG163" i="6" s="1"/>
  <c r="BH163" i="6" s="1"/>
  <c r="BD211" i="6"/>
  <c r="BE211" i="6" s="1"/>
  <c r="BF211" i="6" s="1"/>
  <c r="BG211" i="6" s="1"/>
  <c r="BH211" i="6" s="1"/>
  <c r="BD259" i="6"/>
  <c r="BE259" i="6" s="1"/>
  <c r="BF259" i="6" s="1"/>
  <c r="BG259" i="6" s="1"/>
  <c r="BH259" i="6" s="1"/>
  <c r="BD307" i="6"/>
  <c r="BE307" i="6" s="1"/>
  <c r="BF307" i="6" s="1"/>
  <c r="BG307" i="6" s="1"/>
  <c r="BH307" i="6" s="1"/>
  <c r="BD355" i="6"/>
  <c r="BE355" i="6" s="1"/>
  <c r="BF355" i="6" s="1"/>
  <c r="BG355" i="6" s="1"/>
  <c r="BH355" i="6" s="1"/>
  <c r="BD55" i="6"/>
  <c r="BE55" i="6" s="1"/>
  <c r="BF55" i="6" s="1"/>
  <c r="BG55" i="6" s="1"/>
  <c r="BH55" i="6" s="1"/>
  <c r="BD103" i="6"/>
  <c r="BE103" i="6" s="1"/>
  <c r="BF103" i="6" s="1"/>
  <c r="BG103" i="6" s="1"/>
  <c r="BH103" i="6" s="1"/>
  <c r="BD151" i="6"/>
  <c r="BE151" i="6" s="1"/>
  <c r="BF151" i="6" s="1"/>
  <c r="BG151" i="6" s="1"/>
  <c r="BH151" i="6" s="1"/>
  <c r="BD199" i="6"/>
  <c r="BE199" i="6" s="1"/>
  <c r="BF199" i="6" s="1"/>
  <c r="BG199" i="6" s="1"/>
  <c r="BH199" i="6" s="1"/>
  <c r="BD247" i="6"/>
  <c r="BE247" i="6" s="1"/>
  <c r="BF247" i="6" s="1"/>
  <c r="BG247" i="6" s="1"/>
  <c r="BH247" i="6" s="1"/>
  <c r="BD295" i="6"/>
  <c r="BE295" i="6" s="1"/>
  <c r="BF295" i="6" s="1"/>
  <c r="BG295" i="6" s="1"/>
  <c r="BH295" i="6" s="1"/>
  <c r="BD343" i="6"/>
  <c r="BE343" i="6" s="1"/>
  <c r="BF343" i="6" s="1"/>
  <c r="BG343" i="6" s="1"/>
  <c r="BH343" i="6" s="1"/>
  <c r="BB12" i="6"/>
  <c r="BC12" i="6" s="1"/>
  <c r="BB11" i="6"/>
  <c r="BC11" i="6" s="1"/>
  <c r="BB10" i="6"/>
  <c r="BC10" i="6" s="1"/>
  <c r="BB9" i="6"/>
  <c r="BC9" i="6" s="1"/>
  <c r="AN109" i="10" l="1"/>
  <c r="AN214" i="10"/>
  <c r="AP214" i="10" s="1"/>
  <c r="AQ9" i="10"/>
  <c r="AO323" i="10"/>
  <c r="AQ323" i="10" s="1"/>
  <c r="AO322" i="10"/>
  <c r="AQ322" i="10" s="1"/>
  <c r="AO324" i="10"/>
  <c r="AQ324" i="10" s="1"/>
  <c r="AN322" i="10"/>
  <c r="AP322" i="10" s="1"/>
  <c r="AN323" i="10"/>
  <c r="AP323" i="10" s="1"/>
  <c r="AN324" i="10"/>
  <c r="AP324" i="10" s="1"/>
  <c r="AN300" i="10"/>
  <c r="AP300" i="10" s="1"/>
  <c r="AN299" i="10"/>
  <c r="AP299" i="10" s="1"/>
  <c r="AN211" i="10"/>
  <c r="AN114" i="10"/>
  <c r="AP114" i="10" s="1"/>
  <c r="AN216" i="10"/>
  <c r="AP216" i="10" s="1"/>
  <c r="AN280" i="10"/>
  <c r="AP280" i="10" s="1"/>
  <c r="AN277" i="10"/>
  <c r="AP277" i="10" s="1"/>
  <c r="AN279" i="10"/>
  <c r="AP279" i="10" s="1"/>
  <c r="AN256" i="10"/>
  <c r="AP256" i="10" s="1"/>
  <c r="AN63" i="10"/>
  <c r="AP63" i="10" s="1"/>
  <c r="AN231" i="10"/>
  <c r="AP231" i="10" s="1"/>
  <c r="AN275" i="10"/>
  <c r="AP275" i="10" s="1"/>
  <c r="AN255" i="10"/>
  <c r="AP255" i="10" s="1"/>
  <c r="AN80" i="10"/>
  <c r="AP80" i="10" s="1"/>
  <c r="AN172" i="10"/>
  <c r="AP172" i="10" s="1"/>
  <c r="AN286" i="10"/>
  <c r="AP286" i="10" s="1"/>
  <c r="AN287" i="10"/>
  <c r="AP287" i="10" s="1"/>
  <c r="AN229" i="10"/>
  <c r="AP229" i="10" s="1"/>
  <c r="AN130" i="10"/>
  <c r="AP130" i="10" s="1"/>
  <c r="AN128" i="10"/>
  <c r="AP128" i="10" s="1"/>
  <c r="AN230" i="10"/>
  <c r="AP230" i="10" s="1"/>
  <c r="AN234" i="10"/>
  <c r="AP234" i="10" s="1"/>
  <c r="AN129" i="10"/>
  <c r="AP129" i="10" s="1"/>
  <c r="AN283" i="10"/>
  <c r="AP283" i="10" s="1"/>
  <c r="AN240" i="10"/>
  <c r="AP240" i="10" s="1"/>
  <c r="AN203" i="10"/>
  <c r="AP203" i="10" s="1"/>
  <c r="AN288" i="10"/>
  <c r="AP288" i="10" s="1"/>
  <c r="AN232" i="10"/>
  <c r="AP232" i="10" s="1"/>
  <c r="AN284" i="10"/>
  <c r="AP284" i="10" s="1"/>
  <c r="AN81" i="10"/>
  <c r="AP81" i="10" s="1"/>
  <c r="AN184" i="10"/>
  <c r="AP184" i="10" s="1"/>
  <c r="AN82" i="10"/>
  <c r="AP82" i="10" s="1"/>
  <c r="AO20" i="10"/>
  <c r="AQ20" i="10" s="1"/>
  <c r="AN237" i="10"/>
  <c r="AP237" i="10" s="1"/>
  <c r="AN238" i="10"/>
  <c r="AP238" i="10" s="1"/>
  <c r="AN320" i="10"/>
  <c r="AP320" i="10" s="1"/>
  <c r="AN321" i="10"/>
  <c r="AP321" i="10" s="1"/>
  <c r="AN319" i="10"/>
  <c r="AP319" i="10" s="1"/>
  <c r="AN185" i="10"/>
  <c r="AP185" i="10" s="1"/>
  <c r="AN265" i="10"/>
  <c r="AP265" i="10" s="1"/>
  <c r="AN186" i="10"/>
  <c r="AP186" i="10" s="1"/>
  <c r="AN183" i="10"/>
  <c r="AP183" i="10" s="1"/>
  <c r="AN89" i="10"/>
  <c r="AP89" i="10" s="1"/>
  <c r="AN149" i="10"/>
  <c r="AP149" i="10" s="1"/>
  <c r="AN147" i="10"/>
  <c r="AP147" i="10" s="1"/>
  <c r="AN313" i="10"/>
  <c r="AP313" i="10" s="1"/>
  <c r="AN314" i="10"/>
  <c r="AP314" i="10" s="1"/>
  <c r="AN318" i="10"/>
  <c r="AP318" i="10" s="1"/>
  <c r="AN315" i="10"/>
  <c r="AP315" i="10" s="1"/>
  <c r="AN317" i="10"/>
  <c r="AP317" i="10" s="1"/>
  <c r="AN158" i="10"/>
  <c r="AP158" i="10" s="1"/>
  <c r="AN159" i="10"/>
  <c r="AP159" i="10" s="1"/>
  <c r="AN160" i="10"/>
  <c r="AP160" i="10" s="1"/>
  <c r="AN157" i="10"/>
  <c r="AP157" i="10" s="1"/>
  <c r="AN161" i="10"/>
  <c r="AP161" i="10" s="1"/>
  <c r="AN308" i="10"/>
  <c r="AP308" i="10" s="1"/>
  <c r="AN307" i="10"/>
  <c r="AP307" i="10" s="1"/>
  <c r="AN310" i="10"/>
  <c r="AP310" i="10" s="1"/>
  <c r="AN312" i="10"/>
  <c r="AP312" i="10" s="1"/>
  <c r="AN311" i="10"/>
  <c r="AP311" i="10" s="1"/>
  <c r="AN148" i="10"/>
  <c r="AP148" i="10" s="1"/>
  <c r="AN88" i="10"/>
  <c r="AP88" i="10" s="1"/>
  <c r="BC166" i="12"/>
  <c r="BE166" i="12" s="1"/>
  <c r="BD168" i="12"/>
  <c r="BF168" i="12" s="1"/>
  <c r="BC305" i="12"/>
  <c r="BE305" i="12" s="1"/>
  <c r="BD206" i="12"/>
  <c r="BF206" i="12" s="1"/>
  <c r="BC325" i="12"/>
  <c r="BE325" i="12" s="1"/>
  <c r="BG325" i="12" s="1"/>
  <c r="BC328" i="12"/>
  <c r="BE328" i="12" s="1"/>
  <c r="BD11" i="12"/>
  <c r="BF11" i="12" s="1"/>
  <c r="BD10" i="12"/>
  <c r="BF10" i="12" s="1"/>
  <c r="BD167" i="12"/>
  <c r="BF167" i="12" s="1"/>
  <c r="BC168" i="12"/>
  <c r="BE168" i="12" s="1"/>
  <c r="BD165" i="12"/>
  <c r="BF165" i="12" s="1"/>
  <c r="BC303" i="12"/>
  <c r="BE303" i="12" s="1"/>
  <c r="BD305" i="12"/>
  <c r="BF305" i="12" s="1"/>
  <c r="BC206" i="12"/>
  <c r="BE206" i="12" s="1"/>
  <c r="BD208" i="12"/>
  <c r="BF208" i="12" s="1"/>
  <c r="BC330" i="12"/>
  <c r="BE330" i="12" s="1"/>
  <c r="BD328" i="12"/>
  <c r="BF328" i="12" s="1"/>
  <c r="BD8" i="12"/>
  <c r="BF8" i="12" s="1"/>
  <c r="BC7" i="12"/>
  <c r="BE7" i="12" s="1"/>
  <c r="BD166" i="12"/>
  <c r="BF166" i="12" s="1"/>
  <c r="AN175" i="10"/>
  <c r="AP175" i="10" s="1"/>
  <c r="BD164" i="12"/>
  <c r="BF164" i="12" s="1"/>
  <c r="BD303" i="12"/>
  <c r="BF303" i="12" s="1"/>
  <c r="BD306" i="12"/>
  <c r="BF306" i="12" s="1"/>
  <c r="BC326" i="12"/>
  <c r="BE326" i="12" s="1"/>
  <c r="BD330" i="12"/>
  <c r="BF330" i="12" s="1"/>
  <c r="BC11" i="12"/>
  <c r="BE11" i="12" s="1"/>
  <c r="AN179" i="10"/>
  <c r="AP179" i="10" s="1"/>
  <c r="BD163" i="12"/>
  <c r="BF163" i="12" s="1"/>
  <c r="BH163" i="12" s="1"/>
  <c r="BD301" i="12"/>
  <c r="BF301" i="12" s="1"/>
  <c r="BH301" i="12" s="1"/>
  <c r="BD304" i="12"/>
  <c r="BF304" i="12" s="1"/>
  <c r="BC210" i="12"/>
  <c r="BE210" i="12" s="1"/>
  <c r="BD207" i="12"/>
  <c r="BF207" i="12" s="1"/>
  <c r="BD329" i="12"/>
  <c r="BF329" i="12" s="1"/>
  <c r="BC10" i="12"/>
  <c r="BE10" i="12" s="1"/>
  <c r="BD326" i="12"/>
  <c r="BF326" i="12" s="1"/>
  <c r="AN289" i="10"/>
  <c r="AP289" i="10" s="1"/>
  <c r="AN176" i="10"/>
  <c r="AP176" i="10" s="1"/>
  <c r="AO22" i="10"/>
  <c r="AQ22" i="10" s="1"/>
  <c r="BC164" i="12"/>
  <c r="BE164" i="12" s="1"/>
  <c r="BC304" i="12"/>
  <c r="BE304" i="12" s="1"/>
  <c r="BC209" i="12"/>
  <c r="BE209" i="12" s="1"/>
  <c r="BC329" i="12"/>
  <c r="BE329" i="12" s="1"/>
  <c r="BD7" i="12"/>
  <c r="BF7" i="12" s="1"/>
  <c r="BD325" i="12"/>
  <c r="BF325" i="12" s="1"/>
  <c r="BH325" i="12" s="1"/>
  <c r="AN177" i="10"/>
  <c r="AP177" i="10" s="1"/>
  <c r="AN22" i="10"/>
  <c r="AP22" i="10" s="1"/>
  <c r="AN150" i="10"/>
  <c r="AP150" i="10" s="1"/>
  <c r="AN37" i="10"/>
  <c r="AP37" i="10" s="1"/>
  <c r="AN41" i="10"/>
  <c r="AP41" i="10" s="1"/>
  <c r="AN43" i="10"/>
  <c r="AP43" i="10" s="1"/>
  <c r="AN45" i="10"/>
  <c r="AP45" i="10" s="1"/>
  <c r="AN64" i="10"/>
  <c r="AP64" i="10" s="1"/>
  <c r="AN70" i="10"/>
  <c r="AP70" i="10" s="1"/>
  <c r="AN78" i="10"/>
  <c r="AP78" i="10" s="1"/>
  <c r="AN73" i="10"/>
  <c r="AP73" i="10" s="1"/>
  <c r="AN90" i="10"/>
  <c r="AP90" i="10" s="1"/>
  <c r="AN87" i="10"/>
  <c r="AP87" i="10" s="1"/>
  <c r="AN93" i="10"/>
  <c r="AP93" i="10" s="1"/>
  <c r="AN94" i="10"/>
  <c r="AP94" i="10" s="1"/>
  <c r="AN91" i="10"/>
  <c r="AP91" i="10" s="1"/>
  <c r="AN103" i="10"/>
  <c r="AP103" i="10" s="1"/>
  <c r="AN111" i="10"/>
  <c r="AP111" i="10" s="1"/>
  <c r="AN112" i="10"/>
  <c r="AP112" i="10" s="1"/>
  <c r="AN110" i="10"/>
  <c r="AP110" i="10" s="1"/>
  <c r="AN118" i="10"/>
  <c r="AP118" i="10" s="1"/>
  <c r="AN120" i="10"/>
  <c r="AP120" i="10" s="1"/>
  <c r="AN115" i="10"/>
  <c r="AP115" i="10" s="1"/>
  <c r="AN117" i="10"/>
  <c r="AP117" i="10" s="1"/>
  <c r="AN119" i="10"/>
  <c r="AP119" i="10" s="1"/>
  <c r="AN132" i="10"/>
  <c r="AP132" i="10" s="1"/>
  <c r="AN127" i="10"/>
  <c r="AP127" i="10" s="1"/>
  <c r="AN146" i="10"/>
  <c r="AP146" i="10" s="1"/>
  <c r="AN178" i="10"/>
  <c r="AP178" i="10" s="1"/>
  <c r="AN182" i="10"/>
  <c r="AP182" i="10" s="1"/>
  <c r="AN189" i="10"/>
  <c r="AP189" i="10" s="1"/>
  <c r="AN200" i="10"/>
  <c r="AP200" i="10" s="1"/>
  <c r="AN208" i="10"/>
  <c r="AP208" i="10" s="1"/>
  <c r="AN213" i="10"/>
  <c r="AP213" i="10" s="1"/>
  <c r="AN219" i="10"/>
  <c r="AP219" i="10" s="1"/>
  <c r="AN220" i="10"/>
  <c r="AP220" i="10" s="1"/>
  <c r="AN235" i="10"/>
  <c r="AP235" i="10" s="1"/>
  <c r="AN245" i="10"/>
  <c r="AP245" i="10" s="1"/>
  <c r="AN242" i="10"/>
  <c r="AP242" i="10" s="1"/>
  <c r="AN244" i="10"/>
  <c r="AP244" i="10" s="1"/>
  <c r="AN246" i="10"/>
  <c r="AP246" i="10" s="1"/>
  <c r="AN241" i="10"/>
  <c r="AP241" i="10" s="1"/>
  <c r="AN247" i="10"/>
  <c r="AP247" i="10" s="1"/>
  <c r="AN248" i="10"/>
  <c r="AP248" i="10" s="1"/>
  <c r="AN250" i="10"/>
  <c r="AP250" i="10" s="1"/>
  <c r="AN253" i="10"/>
  <c r="AP253" i="10" s="1"/>
  <c r="AN258" i="10"/>
  <c r="AP258" i="10" s="1"/>
  <c r="AN262" i="10"/>
  <c r="AP262" i="10" s="1"/>
  <c r="AN267" i="10"/>
  <c r="AP267" i="10" s="1"/>
  <c r="AN266" i="10"/>
  <c r="AP266" i="10" s="1"/>
  <c r="AN269" i="10"/>
  <c r="AP269" i="10" s="1"/>
  <c r="AN268" i="10"/>
  <c r="AP268" i="10" s="1"/>
  <c r="AN281" i="10"/>
  <c r="AP281" i="10" s="1"/>
  <c r="AN282" i="10"/>
  <c r="AP282" i="10" s="1"/>
  <c r="AN297" i="10"/>
  <c r="AP297" i="10" s="1"/>
  <c r="AN298" i="10"/>
  <c r="AP298" i="10" s="1"/>
  <c r="AN296" i="10"/>
  <c r="AP296" i="10" s="1"/>
  <c r="AN291" i="10"/>
  <c r="AP291" i="10" s="1"/>
  <c r="AN254" i="10"/>
  <c r="AP254" i="10" s="1"/>
  <c r="AN252" i="10"/>
  <c r="AP252" i="10" s="1"/>
  <c r="AN251" i="10"/>
  <c r="AP251" i="10" s="1"/>
  <c r="AN236" i="10"/>
  <c r="AP236" i="10" s="1"/>
  <c r="AN217" i="10"/>
  <c r="AP217" i="10" s="1"/>
  <c r="AN222" i="10"/>
  <c r="AP222" i="10" s="1"/>
  <c r="AN221" i="10"/>
  <c r="AP221" i="10" s="1"/>
  <c r="AN207" i="10"/>
  <c r="AP207" i="10" s="1"/>
  <c r="AN202" i="10"/>
  <c r="AP202" i="10" s="1"/>
  <c r="AN204" i="10"/>
  <c r="AP204" i="10" s="1"/>
  <c r="AN199" i="10"/>
  <c r="AP199" i="10" s="1"/>
  <c r="AN195" i="10"/>
  <c r="AP195" i="10" s="1"/>
  <c r="AN198" i="10"/>
  <c r="AP198" i="10" s="1"/>
  <c r="AN193" i="10"/>
  <c r="AP193" i="10" s="1"/>
  <c r="AN194" i="10"/>
  <c r="AP194" i="10" s="1"/>
  <c r="AN197" i="10"/>
  <c r="AP197" i="10" s="1"/>
  <c r="AN187" i="10"/>
  <c r="AP187" i="10" s="1"/>
  <c r="AN188" i="10"/>
  <c r="AP188" i="10" s="1"/>
  <c r="AN190" i="10"/>
  <c r="AP190" i="10" s="1"/>
  <c r="AN192" i="10"/>
  <c r="AP192" i="10" s="1"/>
  <c r="AN167" i="10"/>
  <c r="AP167" i="10" s="1"/>
  <c r="AN164" i="10"/>
  <c r="AP164" i="10" s="1"/>
  <c r="AN166" i="10"/>
  <c r="AP166" i="10" s="1"/>
  <c r="AN168" i="10"/>
  <c r="AP168" i="10" s="1"/>
  <c r="AN163" i="10"/>
  <c r="AP163" i="10" s="1"/>
  <c r="AN143" i="10"/>
  <c r="AP143" i="10" s="1"/>
  <c r="AN140" i="10"/>
  <c r="AP140" i="10" s="1"/>
  <c r="AN141" i="10"/>
  <c r="AP141" i="10" s="1"/>
  <c r="AN139" i="10"/>
  <c r="AP139" i="10" s="1"/>
  <c r="AN142" i="10"/>
  <c r="AP142" i="10" s="1"/>
  <c r="AN133" i="10"/>
  <c r="AP133" i="10" s="1"/>
  <c r="AN134" i="10"/>
  <c r="AP134" i="10" s="1"/>
  <c r="AN138" i="10"/>
  <c r="AP138" i="10" s="1"/>
  <c r="AN137" i="10"/>
  <c r="AP137" i="10" s="1"/>
  <c r="AN124" i="10"/>
  <c r="AP124" i="10" s="1"/>
  <c r="AN105" i="10"/>
  <c r="AP105" i="10" s="1"/>
  <c r="AN98" i="10"/>
  <c r="AP98" i="10" s="1"/>
  <c r="AN101" i="10"/>
  <c r="AP101" i="10" s="1"/>
  <c r="AN95" i="10"/>
  <c r="AP95" i="10" s="1"/>
  <c r="AN92" i="10"/>
  <c r="AP92" i="10" s="1"/>
  <c r="AN74" i="10"/>
  <c r="AP74" i="10" s="1"/>
  <c r="AN75" i="10"/>
  <c r="AP75" i="10" s="1"/>
  <c r="AN77" i="10"/>
  <c r="AP77" i="10" s="1"/>
  <c r="AN72" i="10"/>
  <c r="AP72" i="10" s="1"/>
  <c r="AN67" i="10"/>
  <c r="AP67" i="10" s="1"/>
  <c r="AN68" i="10"/>
  <c r="AP68" i="10" s="1"/>
  <c r="AN71" i="10"/>
  <c r="AP71" i="10" s="1"/>
  <c r="AN60" i="10"/>
  <c r="AP60" i="10" s="1"/>
  <c r="AN57" i="10"/>
  <c r="AP57" i="10" s="1"/>
  <c r="AN59" i="10"/>
  <c r="AP59" i="10" s="1"/>
  <c r="AN55" i="10"/>
  <c r="AP55" i="10" s="1"/>
  <c r="AN56" i="10"/>
  <c r="AP56" i="10" s="1"/>
  <c r="AN49" i="10"/>
  <c r="AP49" i="10" s="1"/>
  <c r="AN53" i="10"/>
  <c r="AP53" i="10" s="1"/>
  <c r="AN52" i="10"/>
  <c r="AP52" i="10" s="1"/>
  <c r="AN50" i="10"/>
  <c r="AP50" i="10" s="1"/>
  <c r="AN51" i="10"/>
  <c r="AP51" i="10" s="1"/>
  <c r="AN47" i="10"/>
  <c r="AP47" i="10" s="1"/>
  <c r="AN44" i="10"/>
  <c r="AP44" i="10" s="1"/>
  <c r="AN46" i="10"/>
  <c r="AP46" i="10" s="1"/>
  <c r="AN33" i="10"/>
  <c r="AP33" i="10" s="1"/>
  <c r="AO30" i="10"/>
  <c r="AQ30" i="10" s="1"/>
  <c r="AN28" i="10"/>
  <c r="AP28" i="10" s="1"/>
  <c r="AO27" i="10"/>
  <c r="AQ27" i="10" s="1"/>
  <c r="AN27" i="10"/>
  <c r="AP27" i="10" s="1"/>
  <c r="AN25" i="10"/>
  <c r="AP25" i="10" s="1"/>
  <c r="AN26" i="10"/>
  <c r="AP26" i="10" s="1"/>
  <c r="AO25" i="10"/>
  <c r="AQ25" i="10" s="1"/>
  <c r="AO26" i="10"/>
  <c r="AQ26" i="10" s="1"/>
  <c r="AO28" i="10"/>
  <c r="AQ28" i="10" s="1"/>
  <c r="AN29" i="10"/>
  <c r="AP29" i="10" s="1"/>
  <c r="AN30" i="10"/>
  <c r="AP30" i="10" s="1"/>
  <c r="AN20" i="10"/>
  <c r="AP20" i="10" s="1"/>
  <c r="AO24" i="10"/>
  <c r="AQ24" i="10" s="1"/>
  <c r="AN21" i="10"/>
  <c r="AP21" i="10" s="1"/>
  <c r="AN24" i="10"/>
  <c r="AP24" i="10" s="1"/>
  <c r="AO19" i="10"/>
  <c r="AQ19" i="10" s="1"/>
  <c r="AO21" i="10"/>
  <c r="AQ21" i="10" s="1"/>
  <c r="AN19" i="10"/>
  <c r="AP19" i="10" s="1"/>
  <c r="AN23" i="10"/>
  <c r="AP23" i="10" s="1"/>
  <c r="AN14" i="10"/>
  <c r="AP14" i="10" s="1"/>
  <c r="AQ18" i="10"/>
  <c r="AN13" i="10"/>
  <c r="AP13" i="10" s="1"/>
  <c r="AQ16" i="10"/>
  <c r="AO14" i="10"/>
  <c r="AQ14" i="10" s="1"/>
  <c r="AQ17" i="10"/>
  <c r="AP16" i="10"/>
  <c r="AP15" i="10"/>
  <c r="AQ15" i="10"/>
  <c r="AP17" i="10"/>
  <c r="AP18" i="10"/>
  <c r="AO139" i="10"/>
  <c r="AQ139" i="10" s="1"/>
  <c r="AN301" i="10"/>
  <c r="AP301" i="10" s="1"/>
  <c r="AN303" i="10"/>
  <c r="AP303" i="10" s="1"/>
  <c r="AN86" i="10"/>
  <c r="AP86" i="10" s="1"/>
  <c r="AN79" i="10"/>
  <c r="AP79" i="10" s="1"/>
  <c r="AN206" i="10"/>
  <c r="AP206" i="10" s="1"/>
  <c r="AN205" i="10"/>
  <c r="AP205" i="10" s="1"/>
  <c r="AN40" i="10"/>
  <c r="AP40" i="10" s="1"/>
  <c r="AN38" i="10"/>
  <c r="AP38" i="10" s="1"/>
  <c r="AN260" i="10"/>
  <c r="AP260" i="10" s="1"/>
  <c r="AN259" i="10"/>
  <c r="AP259" i="10" s="1"/>
  <c r="AN99" i="10"/>
  <c r="AP99" i="10" s="1"/>
  <c r="AN170" i="10"/>
  <c r="AP170" i="10" s="1"/>
  <c r="AN169" i="10"/>
  <c r="AP169" i="10" s="1"/>
  <c r="AN305" i="10"/>
  <c r="AP305" i="10" s="1"/>
  <c r="AN293" i="10"/>
  <c r="AP293" i="10" s="1"/>
  <c r="AN107" i="10"/>
  <c r="AP107" i="10" s="1"/>
  <c r="AN61" i="10"/>
  <c r="AP61" i="10" s="1"/>
  <c r="AN122" i="10"/>
  <c r="AP122" i="10" s="1"/>
  <c r="AN121" i="10"/>
  <c r="AP121" i="10" s="1"/>
  <c r="AN210" i="10"/>
  <c r="AP210" i="10" s="1"/>
  <c r="AN39" i="10"/>
  <c r="AP39" i="10" s="1"/>
  <c r="AN264" i="10"/>
  <c r="AP264" i="10" s="1"/>
  <c r="AN263" i="10"/>
  <c r="AP263" i="10" s="1"/>
  <c r="AN100" i="10"/>
  <c r="AP100" i="10" s="1"/>
  <c r="AN174" i="10"/>
  <c r="AP174" i="10" s="1"/>
  <c r="AN173" i="10"/>
  <c r="AP173" i="10" s="1"/>
  <c r="AN302" i="10"/>
  <c r="AP302" i="10" s="1"/>
  <c r="AN290" i="10"/>
  <c r="AP290" i="10" s="1"/>
  <c r="AN104" i="10"/>
  <c r="AP104" i="10" s="1"/>
  <c r="AN65" i="10"/>
  <c r="AP65" i="10" s="1"/>
  <c r="AN126" i="10"/>
  <c r="AP126" i="10" s="1"/>
  <c r="AN125" i="10"/>
  <c r="AP125" i="10" s="1"/>
  <c r="AN83" i="10"/>
  <c r="AP83" i="10" s="1"/>
  <c r="AN153" i="10"/>
  <c r="AP153" i="10" s="1"/>
  <c r="AN102" i="10"/>
  <c r="AP102" i="10" s="1"/>
  <c r="AN304" i="10"/>
  <c r="AP304" i="10" s="1"/>
  <c r="AN292" i="10"/>
  <c r="AP292" i="10" s="1"/>
  <c r="AN106" i="10"/>
  <c r="AP106" i="10" s="1"/>
  <c r="AN62" i="10"/>
  <c r="AP62" i="10" s="1"/>
  <c r="AN152" i="10"/>
  <c r="AP152" i="10" s="1"/>
  <c r="AN156" i="10"/>
  <c r="AP156" i="10" s="1"/>
  <c r="AN154" i="10"/>
  <c r="AP154" i="10" s="1"/>
  <c r="AN155" i="10"/>
  <c r="AP155" i="10" s="1"/>
  <c r="AO112" i="10"/>
  <c r="AQ112" i="10" s="1"/>
  <c r="AO171" i="10"/>
  <c r="AQ171" i="10" s="1"/>
  <c r="AO172" i="10"/>
  <c r="AQ172" i="10" s="1"/>
  <c r="AO61" i="10"/>
  <c r="AQ61" i="10" s="1"/>
  <c r="AO275" i="10"/>
  <c r="AQ275" i="10" s="1"/>
  <c r="AO278" i="10"/>
  <c r="AQ278" i="10" s="1"/>
  <c r="AO94" i="10"/>
  <c r="AQ94" i="10" s="1"/>
  <c r="AO107" i="10"/>
  <c r="AQ107" i="10" s="1"/>
  <c r="AO197" i="10"/>
  <c r="AQ197" i="10" s="1"/>
  <c r="AO220" i="10"/>
  <c r="AQ220" i="10" s="1"/>
  <c r="AO64" i="10"/>
  <c r="AQ64" i="10" s="1"/>
  <c r="AO47" i="10"/>
  <c r="AQ47" i="10" s="1"/>
  <c r="AO313" i="10"/>
  <c r="AQ313" i="10" s="1"/>
  <c r="AO75" i="10"/>
  <c r="AQ75" i="10" s="1"/>
  <c r="AO237" i="10"/>
  <c r="AQ237" i="10" s="1"/>
  <c r="AO144" i="10"/>
  <c r="AQ144" i="10" s="1"/>
  <c r="AO106" i="10"/>
  <c r="AQ106" i="10" s="1"/>
  <c r="AO241" i="10"/>
  <c r="AQ241" i="10" s="1"/>
  <c r="AO126" i="10"/>
  <c r="AQ126" i="10" s="1"/>
  <c r="AO138" i="10"/>
  <c r="AQ138" i="10" s="1"/>
  <c r="AO307" i="10"/>
  <c r="AQ307" i="10" s="1"/>
  <c r="AO83" i="10"/>
  <c r="AQ83" i="10" s="1"/>
  <c r="AO115" i="10"/>
  <c r="AQ115" i="10" s="1"/>
  <c r="AO147" i="10"/>
  <c r="AQ147" i="10" s="1"/>
  <c r="AO179" i="10"/>
  <c r="AQ179" i="10" s="1"/>
  <c r="AO269" i="10"/>
  <c r="AQ269" i="10" s="1"/>
  <c r="AO255" i="10"/>
  <c r="AQ255" i="10" s="1"/>
  <c r="AO230" i="10"/>
  <c r="AQ230" i="10" s="1"/>
  <c r="AO294" i="10"/>
  <c r="AQ294" i="10" s="1"/>
  <c r="AO154" i="10"/>
  <c r="AQ154" i="10" s="1"/>
  <c r="AO108" i="10"/>
  <c r="AQ108" i="10" s="1"/>
  <c r="AO158" i="10"/>
  <c r="AQ158" i="10" s="1"/>
  <c r="AO56" i="10"/>
  <c r="AQ56" i="10" s="1"/>
  <c r="AO176" i="10"/>
  <c r="AQ176" i="10" s="1"/>
  <c r="AO217" i="10"/>
  <c r="AQ217" i="10" s="1"/>
  <c r="AO65" i="10"/>
  <c r="AQ65" i="10" s="1"/>
  <c r="AO91" i="10"/>
  <c r="AQ91" i="10" s="1"/>
  <c r="AO123" i="10"/>
  <c r="AQ123" i="10" s="1"/>
  <c r="AO155" i="10"/>
  <c r="AQ155" i="10" s="1"/>
  <c r="AO309" i="10"/>
  <c r="AQ309" i="10" s="1"/>
  <c r="AO319" i="10"/>
  <c r="AQ319" i="10" s="1"/>
  <c r="AO188" i="10"/>
  <c r="AQ188" i="10" s="1"/>
  <c r="AO246" i="10"/>
  <c r="AQ246" i="10" s="1"/>
  <c r="AO310" i="10"/>
  <c r="AQ310" i="10" s="1"/>
  <c r="AO76" i="10"/>
  <c r="AQ76" i="10" s="1"/>
  <c r="AO38" i="10"/>
  <c r="AQ38" i="10" s="1"/>
  <c r="AO233" i="10"/>
  <c r="AQ233" i="10" s="1"/>
  <c r="AO49" i="10"/>
  <c r="AQ49" i="10" s="1"/>
  <c r="AO140" i="10"/>
  <c r="AQ140" i="10" s="1"/>
  <c r="AO68" i="10"/>
  <c r="AQ68" i="10" s="1"/>
  <c r="AO191" i="10"/>
  <c r="AQ191" i="10" s="1"/>
  <c r="AO80" i="10"/>
  <c r="AQ80" i="10" s="1"/>
  <c r="AO257" i="10"/>
  <c r="AQ257" i="10" s="1"/>
  <c r="AO243" i="10"/>
  <c r="AQ243" i="10" s="1"/>
  <c r="AO99" i="10"/>
  <c r="AQ99" i="10" s="1"/>
  <c r="AO131" i="10"/>
  <c r="AQ131" i="10" s="1"/>
  <c r="AO163" i="10"/>
  <c r="AQ163" i="10" s="1"/>
  <c r="AO211" i="10"/>
  <c r="AQ211" i="10" s="1"/>
  <c r="AO204" i="10"/>
  <c r="AQ204" i="10" s="1"/>
  <c r="AO262" i="10"/>
  <c r="AQ262" i="10" s="1"/>
  <c r="AO45" i="10"/>
  <c r="AQ45" i="10" s="1"/>
  <c r="AO46" i="10"/>
  <c r="AQ46" i="10" s="1"/>
  <c r="AO72" i="10"/>
  <c r="AQ72" i="10" s="1"/>
  <c r="AO122" i="10"/>
  <c r="AQ122" i="10" s="1"/>
  <c r="AO170" i="10"/>
  <c r="AQ170" i="10" s="1"/>
  <c r="AO265" i="10"/>
  <c r="AQ265" i="10" s="1"/>
  <c r="AO41" i="10"/>
  <c r="AQ41" i="10" s="1"/>
  <c r="AO52" i="10"/>
  <c r="AQ52" i="10" s="1"/>
  <c r="AO62" i="10"/>
  <c r="AQ62" i="10" s="1"/>
  <c r="AO84" i="10"/>
  <c r="AQ84" i="10" s="1"/>
  <c r="AO116" i="10"/>
  <c r="AQ116" i="10" s="1"/>
  <c r="AO148" i="10"/>
  <c r="AQ148" i="10" s="1"/>
  <c r="AO180" i="10"/>
  <c r="AQ180" i="10" s="1"/>
  <c r="AO273" i="10"/>
  <c r="AQ273" i="10" s="1"/>
  <c r="AO50" i="10"/>
  <c r="AQ50" i="10" s="1"/>
  <c r="AO102" i="10"/>
  <c r="AQ102" i="10" s="1"/>
  <c r="AO134" i="10"/>
  <c r="AQ134" i="10" s="1"/>
  <c r="AO166" i="10"/>
  <c r="AQ166" i="10" s="1"/>
  <c r="AO88" i="10"/>
  <c r="AQ88" i="10" s="1"/>
  <c r="AO120" i="10"/>
  <c r="AQ120" i="10" s="1"/>
  <c r="AO152" i="10"/>
  <c r="AQ152" i="10" s="1"/>
  <c r="AO184" i="10"/>
  <c r="AQ184" i="10" s="1"/>
  <c r="AO289" i="10"/>
  <c r="AQ289" i="10" s="1"/>
  <c r="AO43" i="10"/>
  <c r="AQ43" i="10" s="1"/>
  <c r="AO74" i="10"/>
  <c r="AQ74" i="10" s="1"/>
  <c r="AO162" i="10"/>
  <c r="AQ162" i="10" s="1"/>
  <c r="AO193" i="10"/>
  <c r="AQ193" i="10" s="1"/>
  <c r="AO251" i="10"/>
  <c r="AQ251" i="10" s="1"/>
  <c r="AO283" i="10"/>
  <c r="AQ283" i="10" s="1"/>
  <c r="AO315" i="10"/>
  <c r="AQ315" i="10" s="1"/>
  <c r="AO67" i="10"/>
  <c r="AQ67" i="10" s="1"/>
  <c r="AO77" i="10"/>
  <c r="AQ77" i="10" s="1"/>
  <c r="AO85" i="10"/>
  <c r="AQ85" i="10" s="1"/>
  <c r="AO93" i="10"/>
  <c r="AQ93" i="10" s="1"/>
  <c r="AO101" i="10"/>
  <c r="AQ101" i="10" s="1"/>
  <c r="AO109" i="10"/>
  <c r="AQ109" i="10" s="1"/>
  <c r="AO117" i="10"/>
  <c r="AQ117" i="10" s="1"/>
  <c r="AO125" i="10"/>
  <c r="AQ125" i="10" s="1"/>
  <c r="AO133" i="10"/>
  <c r="AQ133" i="10" s="1"/>
  <c r="AO141" i="10"/>
  <c r="AQ141" i="10" s="1"/>
  <c r="AO149" i="10"/>
  <c r="AQ149" i="10" s="1"/>
  <c r="AO157" i="10"/>
  <c r="AQ157" i="10" s="1"/>
  <c r="AO165" i="10"/>
  <c r="AQ165" i="10" s="1"/>
  <c r="AO173" i="10"/>
  <c r="AQ173" i="10" s="1"/>
  <c r="AO181" i="10"/>
  <c r="AQ181" i="10" s="1"/>
  <c r="AO187" i="10"/>
  <c r="AQ187" i="10" s="1"/>
  <c r="AO219" i="10"/>
  <c r="AQ219" i="10" s="1"/>
  <c r="AO245" i="10"/>
  <c r="AQ245" i="10" s="1"/>
  <c r="AO277" i="10"/>
  <c r="AQ277" i="10" s="1"/>
  <c r="AO317" i="10"/>
  <c r="AQ317" i="10" s="1"/>
  <c r="AO205" i="10"/>
  <c r="AQ205" i="10" s="1"/>
  <c r="AO263" i="10"/>
  <c r="AQ263" i="10" s="1"/>
  <c r="AO194" i="10"/>
  <c r="AQ194" i="10" s="1"/>
  <c r="AO210" i="10"/>
  <c r="AQ210" i="10" s="1"/>
  <c r="AO236" i="10"/>
  <c r="AQ236" i="10" s="1"/>
  <c r="AO252" i="10"/>
  <c r="AQ252" i="10" s="1"/>
  <c r="AO268" i="10"/>
  <c r="AQ268" i="10" s="1"/>
  <c r="AO284" i="10"/>
  <c r="AQ284" i="10" s="1"/>
  <c r="AO300" i="10"/>
  <c r="AQ300" i="10" s="1"/>
  <c r="AO316" i="10"/>
  <c r="AQ316" i="10" s="1"/>
  <c r="AO7" i="10"/>
  <c r="AQ7" i="10" s="1"/>
  <c r="AO63" i="10"/>
  <c r="AQ63" i="10" s="1"/>
  <c r="AO51" i="10"/>
  <c r="AQ51" i="10" s="1"/>
  <c r="AO82" i="10"/>
  <c r="AQ82" i="10" s="1"/>
  <c r="AO130" i="10"/>
  <c r="AQ130" i="10" s="1"/>
  <c r="AO178" i="10"/>
  <c r="AQ178" i="10" s="1"/>
  <c r="AO297" i="10"/>
  <c r="AQ297" i="10" s="1"/>
  <c r="AO44" i="10"/>
  <c r="AQ44" i="10" s="1"/>
  <c r="AO57" i="10"/>
  <c r="AQ57" i="10" s="1"/>
  <c r="AO66" i="10"/>
  <c r="AQ66" i="10" s="1"/>
  <c r="AO92" i="10"/>
  <c r="AQ92" i="10" s="1"/>
  <c r="AO124" i="10"/>
  <c r="AQ124" i="10" s="1"/>
  <c r="AO156" i="10"/>
  <c r="AQ156" i="10" s="1"/>
  <c r="AO305" i="10"/>
  <c r="AQ305" i="10" s="1"/>
  <c r="AO39" i="10"/>
  <c r="AQ39" i="10" s="1"/>
  <c r="AO55" i="10"/>
  <c r="AQ55" i="10" s="1"/>
  <c r="AO78" i="10"/>
  <c r="AQ78" i="10" s="1"/>
  <c r="AO110" i="10"/>
  <c r="AQ110" i="10" s="1"/>
  <c r="AO142" i="10"/>
  <c r="AQ142" i="10" s="1"/>
  <c r="AO174" i="10"/>
  <c r="AQ174" i="10" s="1"/>
  <c r="AO249" i="10"/>
  <c r="AQ249" i="10" s="1"/>
  <c r="AO40" i="10"/>
  <c r="AQ40" i="10" s="1"/>
  <c r="AO70" i="10"/>
  <c r="AQ70" i="10" s="1"/>
  <c r="AO96" i="10"/>
  <c r="AQ96" i="10" s="1"/>
  <c r="AO128" i="10"/>
  <c r="AQ128" i="10" s="1"/>
  <c r="AO160" i="10"/>
  <c r="AQ160" i="10" s="1"/>
  <c r="AO199" i="10"/>
  <c r="AQ199" i="10" s="1"/>
  <c r="AO321" i="10"/>
  <c r="AQ321" i="10" s="1"/>
  <c r="AO54" i="10"/>
  <c r="AQ54" i="10" s="1"/>
  <c r="AO98" i="10"/>
  <c r="AQ98" i="10" s="1"/>
  <c r="AO207" i="10"/>
  <c r="AQ207" i="10" s="1"/>
  <c r="AO201" i="10"/>
  <c r="AQ201" i="10" s="1"/>
  <c r="AO227" i="10"/>
  <c r="AQ227" i="10" s="1"/>
  <c r="AO259" i="10"/>
  <c r="AQ259" i="10" s="1"/>
  <c r="AO291" i="10"/>
  <c r="AQ291" i="10" s="1"/>
  <c r="AO69" i="10"/>
  <c r="AQ69" i="10" s="1"/>
  <c r="AO79" i="10"/>
  <c r="AQ79" i="10" s="1"/>
  <c r="AO87" i="10"/>
  <c r="AQ87" i="10" s="1"/>
  <c r="AO95" i="10"/>
  <c r="AQ95" i="10" s="1"/>
  <c r="AO103" i="10"/>
  <c r="AQ103" i="10" s="1"/>
  <c r="AO111" i="10"/>
  <c r="AQ111" i="10" s="1"/>
  <c r="AO119" i="10"/>
  <c r="AQ119" i="10" s="1"/>
  <c r="AO127" i="10"/>
  <c r="AQ127" i="10" s="1"/>
  <c r="AO135" i="10"/>
  <c r="AQ135" i="10" s="1"/>
  <c r="AO143" i="10"/>
  <c r="AQ143" i="10" s="1"/>
  <c r="AO151" i="10"/>
  <c r="AQ151" i="10" s="1"/>
  <c r="AO159" i="10"/>
  <c r="AQ159" i="10" s="1"/>
  <c r="AO167" i="10"/>
  <c r="AQ167" i="10" s="1"/>
  <c r="AO175" i="10"/>
  <c r="AQ175" i="10" s="1"/>
  <c r="AO183" i="10"/>
  <c r="AQ183" i="10" s="1"/>
  <c r="AO195" i="10"/>
  <c r="AQ195" i="10" s="1"/>
  <c r="AO253" i="10"/>
  <c r="AQ253" i="10" s="1"/>
  <c r="AO285" i="10"/>
  <c r="AQ285" i="10" s="1"/>
  <c r="AO223" i="10"/>
  <c r="AQ223" i="10" s="1"/>
  <c r="AO287" i="10"/>
  <c r="AQ287" i="10" s="1"/>
  <c r="AO196" i="10"/>
  <c r="AQ196" i="10" s="1"/>
  <c r="AO212" i="10"/>
  <c r="AQ212" i="10" s="1"/>
  <c r="AO238" i="10"/>
  <c r="AQ238" i="10" s="1"/>
  <c r="AO254" i="10"/>
  <c r="AQ254" i="10" s="1"/>
  <c r="AO270" i="10"/>
  <c r="AQ270" i="10" s="1"/>
  <c r="AO286" i="10"/>
  <c r="AQ286" i="10" s="1"/>
  <c r="AO302" i="10"/>
  <c r="AQ302" i="10" s="1"/>
  <c r="AO318" i="10"/>
  <c r="AQ318" i="10" s="1"/>
  <c r="AO53" i="10"/>
  <c r="AQ53" i="10" s="1"/>
  <c r="AO59" i="10"/>
  <c r="AQ59" i="10" s="1"/>
  <c r="AO90" i="10"/>
  <c r="AQ90" i="10" s="1"/>
  <c r="AO146" i="10"/>
  <c r="AQ146" i="10" s="1"/>
  <c r="AO60" i="10"/>
  <c r="AQ60" i="10" s="1"/>
  <c r="AO100" i="10"/>
  <c r="AQ100" i="10" s="1"/>
  <c r="AO132" i="10"/>
  <c r="AQ132" i="10" s="1"/>
  <c r="AO164" i="10"/>
  <c r="AQ164" i="10" s="1"/>
  <c r="AO215" i="10"/>
  <c r="AQ215" i="10" s="1"/>
  <c r="AO42" i="10"/>
  <c r="AQ42" i="10" s="1"/>
  <c r="AO58" i="10"/>
  <c r="AQ58" i="10" s="1"/>
  <c r="AO86" i="10"/>
  <c r="AQ86" i="10" s="1"/>
  <c r="AO118" i="10"/>
  <c r="AQ118" i="10" s="1"/>
  <c r="AO150" i="10"/>
  <c r="AQ150" i="10" s="1"/>
  <c r="AO182" i="10"/>
  <c r="AQ182" i="10" s="1"/>
  <c r="AO281" i="10"/>
  <c r="AQ281" i="10" s="1"/>
  <c r="AO48" i="10"/>
  <c r="AQ48" i="10" s="1"/>
  <c r="AO104" i="10"/>
  <c r="AQ104" i="10" s="1"/>
  <c r="AO136" i="10"/>
  <c r="AQ136" i="10" s="1"/>
  <c r="AO168" i="10"/>
  <c r="AQ168" i="10" s="1"/>
  <c r="AO225" i="10"/>
  <c r="AQ225" i="10" s="1"/>
  <c r="AO37" i="10"/>
  <c r="AQ37" i="10" s="1"/>
  <c r="AO114" i="10"/>
  <c r="AQ114" i="10" s="1"/>
  <c r="AO209" i="10"/>
  <c r="AQ209" i="10" s="1"/>
  <c r="AO235" i="10"/>
  <c r="AQ235" i="10" s="1"/>
  <c r="AO267" i="10"/>
  <c r="AQ267" i="10" s="1"/>
  <c r="AO299" i="10"/>
  <c r="AQ299" i="10" s="1"/>
  <c r="AO71" i="10"/>
  <c r="AQ71" i="10" s="1"/>
  <c r="AO73" i="10"/>
  <c r="AQ73" i="10" s="1"/>
  <c r="AO81" i="10"/>
  <c r="AQ81" i="10" s="1"/>
  <c r="AO89" i="10"/>
  <c r="AQ89" i="10" s="1"/>
  <c r="AO97" i="10"/>
  <c r="AQ97" i="10" s="1"/>
  <c r="AO105" i="10"/>
  <c r="AQ105" i="10" s="1"/>
  <c r="AO113" i="10"/>
  <c r="AQ113" i="10" s="1"/>
  <c r="AO121" i="10"/>
  <c r="AQ121" i="10" s="1"/>
  <c r="AO129" i="10"/>
  <c r="AQ129" i="10" s="1"/>
  <c r="AO137" i="10"/>
  <c r="AQ137" i="10" s="1"/>
  <c r="AO145" i="10"/>
  <c r="AQ145" i="10" s="1"/>
  <c r="AO153" i="10"/>
  <c r="AQ153" i="10" s="1"/>
  <c r="AO161" i="10"/>
  <c r="AQ161" i="10" s="1"/>
  <c r="AO169" i="10"/>
  <c r="AQ169" i="10" s="1"/>
  <c r="AO177" i="10"/>
  <c r="AQ177" i="10" s="1"/>
  <c r="AO185" i="10"/>
  <c r="AQ185" i="10" s="1"/>
  <c r="AO203" i="10"/>
  <c r="AQ203" i="10" s="1"/>
  <c r="AO229" i="10"/>
  <c r="AQ229" i="10" s="1"/>
  <c r="AO261" i="10"/>
  <c r="AQ261" i="10" s="1"/>
  <c r="AO293" i="10"/>
  <c r="AQ293" i="10" s="1"/>
  <c r="AO186" i="10"/>
  <c r="AQ186" i="10" s="1"/>
  <c r="AO231" i="10"/>
  <c r="AQ231" i="10" s="1"/>
  <c r="AO295" i="10"/>
  <c r="AQ295" i="10" s="1"/>
  <c r="AO202" i="10"/>
  <c r="AQ202" i="10" s="1"/>
  <c r="AO218" i="10"/>
  <c r="AQ218" i="10" s="1"/>
  <c r="AO228" i="10"/>
  <c r="AQ228" i="10" s="1"/>
  <c r="AO244" i="10"/>
  <c r="AQ244" i="10" s="1"/>
  <c r="AO260" i="10"/>
  <c r="AQ260" i="10" s="1"/>
  <c r="AO276" i="10"/>
  <c r="AQ276" i="10" s="1"/>
  <c r="AO292" i="10"/>
  <c r="AQ292" i="10" s="1"/>
  <c r="AO308" i="10"/>
  <c r="AQ308" i="10" s="1"/>
  <c r="AO8" i="10"/>
  <c r="AQ8" i="10" s="1"/>
  <c r="AO32" i="10"/>
  <c r="AQ32" i="10" s="1"/>
  <c r="AO213" i="10"/>
  <c r="AQ213" i="10" s="1"/>
  <c r="AO239" i="10"/>
  <c r="AQ239" i="10" s="1"/>
  <c r="AO271" i="10"/>
  <c r="AQ271" i="10" s="1"/>
  <c r="AO303" i="10"/>
  <c r="AQ303" i="10" s="1"/>
  <c r="AO190" i="10"/>
  <c r="AQ190" i="10" s="1"/>
  <c r="AO198" i="10"/>
  <c r="AQ198" i="10" s="1"/>
  <c r="AO206" i="10"/>
  <c r="AQ206" i="10" s="1"/>
  <c r="AO214" i="10"/>
  <c r="AQ214" i="10" s="1"/>
  <c r="AO222" i="10"/>
  <c r="AQ222" i="10" s="1"/>
  <c r="AO224" i="10"/>
  <c r="AQ224" i="10" s="1"/>
  <c r="AO232" i="10"/>
  <c r="AQ232" i="10" s="1"/>
  <c r="AO240" i="10"/>
  <c r="AQ240" i="10" s="1"/>
  <c r="AO248" i="10"/>
  <c r="AQ248" i="10" s="1"/>
  <c r="AO256" i="10"/>
  <c r="AQ256" i="10" s="1"/>
  <c r="AO264" i="10"/>
  <c r="AQ264" i="10" s="1"/>
  <c r="AO272" i="10"/>
  <c r="AQ272" i="10" s="1"/>
  <c r="AO280" i="10"/>
  <c r="AQ280" i="10" s="1"/>
  <c r="AO288" i="10"/>
  <c r="AQ288" i="10" s="1"/>
  <c r="AO296" i="10"/>
  <c r="AQ296" i="10" s="1"/>
  <c r="AO304" i="10"/>
  <c r="AQ304" i="10" s="1"/>
  <c r="AO312" i="10"/>
  <c r="AQ312" i="10" s="1"/>
  <c r="AO320" i="10"/>
  <c r="AQ320" i="10" s="1"/>
  <c r="AN8" i="10"/>
  <c r="AP8" i="10" s="1"/>
  <c r="AP9" i="10"/>
  <c r="AO301" i="10"/>
  <c r="AQ301" i="10" s="1"/>
  <c r="AO189" i="10"/>
  <c r="AQ189" i="10" s="1"/>
  <c r="AO221" i="10"/>
  <c r="AQ221" i="10" s="1"/>
  <c r="AO247" i="10"/>
  <c r="AQ247" i="10" s="1"/>
  <c r="AO279" i="10"/>
  <c r="AQ279" i="10" s="1"/>
  <c r="AO311" i="10"/>
  <c r="AQ311" i="10" s="1"/>
  <c r="AO192" i="10"/>
  <c r="AQ192" i="10" s="1"/>
  <c r="AO200" i="10"/>
  <c r="AQ200" i="10" s="1"/>
  <c r="AO208" i="10"/>
  <c r="AQ208" i="10" s="1"/>
  <c r="AO216" i="10"/>
  <c r="AQ216" i="10" s="1"/>
  <c r="AO226" i="10"/>
  <c r="AQ226" i="10" s="1"/>
  <c r="AO234" i="10"/>
  <c r="AQ234" i="10" s="1"/>
  <c r="AO242" i="10"/>
  <c r="AQ242" i="10" s="1"/>
  <c r="AO250" i="10"/>
  <c r="AQ250" i="10" s="1"/>
  <c r="AO258" i="10"/>
  <c r="AQ258" i="10" s="1"/>
  <c r="AO266" i="10"/>
  <c r="AQ266" i="10" s="1"/>
  <c r="AO274" i="10"/>
  <c r="AQ274" i="10" s="1"/>
  <c r="AO282" i="10"/>
  <c r="AQ282" i="10" s="1"/>
  <c r="AO290" i="10"/>
  <c r="AQ290" i="10" s="1"/>
  <c r="AO298" i="10"/>
  <c r="AQ298" i="10" s="1"/>
  <c r="AO306" i="10"/>
  <c r="AQ306" i="10" s="1"/>
  <c r="AO314" i="10"/>
  <c r="AQ314" i="10" s="1"/>
  <c r="AN7" i="10"/>
  <c r="AP7" i="10" s="1"/>
  <c r="BC33" i="12"/>
  <c r="BE33" i="12" s="1"/>
  <c r="BC36" i="12"/>
  <c r="BE36" i="12" s="1"/>
  <c r="BD33" i="12"/>
  <c r="BF33" i="12" s="1"/>
  <c r="BC35" i="12"/>
  <c r="BE35" i="12" s="1"/>
  <c r="BD34" i="12"/>
  <c r="BF34" i="12" s="1"/>
  <c r="BD35" i="12"/>
  <c r="BF35" i="12" s="1"/>
  <c r="BD227" i="12"/>
  <c r="BF227" i="12" s="1"/>
  <c r="BD223" i="12"/>
  <c r="BF223" i="12" s="1"/>
  <c r="BH223" i="12" s="1"/>
  <c r="BI223" i="12" s="1"/>
  <c r="BD224" i="12"/>
  <c r="BF224" i="12" s="1"/>
  <c r="BC224" i="12"/>
  <c r="BE224" i="12" s="1"/>
  <c r="BC226" i="12"/>
  <c r="BE226" i="12" s="1"/>
  <c r="BD228" i="12"/>
  <c r="BF228" i="12" s="1"/>
  <c r="BD129" i="12"/>
  <c r="BF129" i="12" s="1"/>
  <c r="BD130" i="12"/>
  <c r="BF130" i="12" s="1"/>
  <c r="BC128" i="12"/>
  <c r="BE128" i="12" s="1"/>
  <c r="BC132" i="12"/>
  <c r="BE132" i="12" s="1"/>
  <c r="BD132" i="12"/>
  <c r="BF132" i="12" s="1"/>
  <c r="BC127" i="12"/>
  <c r="BE127" i="12" s="1"/>
  <c r="BG127" i="12" s="1"/>
  <c r="BI127" i="12" s="1"/>
  <c r="BC15" i="12"/>
  <c r="BE15" i="12" s="1"/>
  <c r="BC17" i="12"/>
  <c r="BE17" i="12" s="1"/>
  <c r="BC18" i="12"/>
  <c r="BE18" i="12" s="1"/>
  <c r="BD16" i="12"/>
  <c r="BF16" i="12" s="1"/>
  <c r="BD17" i="12"/>
  <c r="BF17" i="12" s="1"/>
  <c r="BD13" i="12"/>
  <c r="BF13" i="12" s="1"/>
  <c r="BC308" i="12"/>
  <c r="BE308" i="12" s="1"/>
  <c r="BD307" i="12"/>
  <c r="BF307" i="12" s="1"/>
  <c r="BH307" i="12" s="1"/>
  <c r="BD312" i="12"/>
  <c r="BF312" i="12" s="1"/>
  <c r="BD310" i="12"/>
  <c r="BF310" i="12" s="1"/>
  <c r="BC307" i="12"/>
  <c r="BE307" i="12" s="1"/>
  <c r="BG307" i="12" s="1"/>
  <c r="BD309" i="12"/>
  <c r="BF309" i="12" s="1"/>
  <c r="BD183" i="12"/>
  <c r="BF183" i="12" s="1"/>
  <c r="BD186" i="12"/>
  <c r="BF186" i="12" s="1"/>
  <c r="BD181" i="12"/>
  <c r="BF181" i="12" s="1"/>
  <c r="BH181" i="12" s="1"/>
  <c r="BI181" i="12" s="1"/>
  <c r="BC185" i="12"/>
  <c r="BE185" i="12" s="1"/>
  <c r="BD185" i="12"/>
  <c r="BF185" i="12" s="1"/>
  <c r="BC184" i="12"/>
  <c r="BE184" i="12" s="1"/>
  <c r="AN271" i="10"/>
  <c r="AP271" i="10" s="1"/>
  <c r="AN273" i="10"/>
  <c r="AP273" i="10" s="1"/>
  <c r="AN272" i="10"/>
  <c r="AP272" i="10" s="1"/>
  <c r="AO36" i="10"/>
  <c r="AQ36" i="10" s="1"/>
  <c r="AN36" i="10"/>
  <c r="AP36" i="10" s="1"/>
  <c r="AN34" i="10"/>
  <c r="AP34" i="10" s="1"/>
  <c r="AO35" i="10"/>
  <c r="AQ35" i="10" s="1"/>
  <c r="AN35" i="10"/>
  <c r="AP35" i="10" s="1"/>
  <c r="AO31" i="10"/>
  <c r="AQ31" i="10" s="1"/>
  <c r="AN274" i="10"/>
  <c r="AP274" i="10" s="1"/>
  <c r="BD32" i="12"/>
  <c r="BF32" i="12" s="1"/>
  <c r="BD31" i="12"/>
  <c r="BF31" i="12" s="1"/>
  <c r="BH31" i="12" s="1"/>
  <c r="BC31" i="12"/>
  <c r="BE31" i="12" s="1"/>
  <c r="BG31" i="12" s="1"/>
  <c r="BC225" i="12"/>
  <c r="BE225" i="12" s="1"/>
  <c r="BC228" i="12"/>
  <c r="BE228" i="12" s="1"/>
  <c r="BD226" i="12"/>
  <c r="BF226" i="12" s="1"/>
  <c r="BC131" i="12"/>
  <c r="BE131" i="12" s="1"/>
  <c r="BC130" i="12"/>
  <c r="BE130" i="12" s="1"/>
  <c r="BD128" i="12"/>
  <c r="BF128" i="12" s="1"/>
  <c r="BD15" i="12"/>
  <c r="BF15" i="12" s="1"/>
  <c r="BC16" i="12"/>
  <c r="BE16" i="12" s="1"/>
  <c r="BC13" i="12"/>
  <c r="BE13" i="12" s="1"/>
  <c r="BG13" i="12" s="1"/>
  <c r="BD311" i="12"/>
  <c r="BF311" i="12" s="1"/>
  <c r="BC311" i="12"/>
  <c r="BE311" i="12" s="1"/>
  <c r="BC310" i="12"/>
  <c r="BE310" i="12" s="1"/>
  <c r="BC183" i="12"/>
  <c r="BE183" i="12" s="1"/>
  <c r="BC186" i="12"/>
  <c r="BE186" i="12" s="1"/>
  <c r="BD184" i="12"/>
  <c r="BF184" i="12" s="1"/>
  <c r="AO33" i="10"/>
  <c r="AQ33" i="10" s="1"/>
  <c r="AN32" i="10"/>
  <c r="AP32" i="10" s="1"/>
  <c r="AO34" i="10"/>
  <c r="AQ34" i="10" s="1"/>
  <c r="BI301" i="12"/>
  <c r="BI205" i="12"/>
  <c r="BF13" i="6"/>
  <c r="BG13" i="6" s="1"/>
  <c r="BH13" i="6" s="1"/>
  <c r="BJ13" i="6" s="1"/>
  <c r="BK13" i="6" s="1"/>
  <c r="BC20" i="12"/>
  <c r="BE20" i="12" s="1"/>
  <c r="BC23" i="12"/>
  <c r="BE23" i="12" s="1"/>
  <c r="BD24" i="12"/>
  <c r="BF24" i="12" s="1"/>
  <c r="BD23" i="12"/>
  <c r="BF23" i="12" s="1"/>
  <c r="BC22" i="12"/>
  <c r="BE22" i="12" s="1"/>
  <c r="BD20" i="12"/>
  <c r="BF20" i="12" s="1"/>
  <c r="BC19" i="12"/>
  <c r="BE19" i="12" s="1"/>
  <c r="BG19" i="12" s="1"/>
  <c r="BC21" i="12"/>
  <c r="BE21" i="12" s="1"/>
  <c r="BD19" i="12"/>
  <c r="BF19" i="12" s="1"/>
  <c r="BH19" i="12" s="1"/>
  <c r="BC24" i="12"/>
  <c r="BE24" i="12" s="1"/>
  <c r="BD21" i="12"/>
  <c r="BF21" i="12" s="1"/>
  <c r="BD22" i="12"/>
  <c r="BF22" i="12" s="1"/>
  <c r="BC57" i="12"/>
  <c r="BE57" i="12" s="1"/>
  <c r="BC55" i="12"/>
  <c r="BE55" i="12" s="1"/>
  <c r="BG55" i="12" s="1"/>
  <c r="BC58" i="12"/>
  <c r="BE58" i="12" s="1"/>
  <c r="BD56" i="12"/>
  <c r="BF56" i="12" s="1"/>
  <c r="BD59" i="12"/>
  <c r="BF59" i="12" s="1"/>
  <c r="BC60" i="12"/>
  <c r="BE60" i="12" s="1"/>
  <c r="BC56" i="12"/>
  <c r="BE56" i="12" s="1"/>
  <c r="BC59" i="12"/>
  <c r="BE59" i="12" s="1"/>
  <c r="BD57" i="12"/>
  <c r="BF57" i="12" s="1"/>
  <c r="BD58" i="12"/>
  <c r="BF58" i="12" s="1"/>
  <c r="BD60" i="12"/>
  <c r="BF60" i="12" s="1"/>
  <c r="BD55" i="12"/>
  <c r="BF55" i="12" s="1"/>
  <c r="BH55" i="12" s="1"/>
  <c r="BC49" i="12"/>
  <c r="BE49" i="12" s="1"/>
  <c r="BG49" i="12" s="1"/>
  <c r="BC50" i="12"/>
  <c r="BE50" i="12" s="1"/>
  <c r="BC53" i="12"/>
  <c r="BE53" i="12" s="1"/>
  <c r="BC54" i="12"/>
  <c r="BE54" i="12" s="1"/>
  <c r="BC52" i="12"/>
  <c r="BE52" i="12" s="1"/>
  <c r="BC51" i="12"/>
  <c r="BE51" i="12" s="1"/>
  <c r="BD51" i="12"/>
  <c r="BF51" i="12" s="1"/>
  <c r="BD53" i="12"/>
  <c r="BF53" i="12" s="1"/>
  <c r="BD54" i="12"/>
  <c r="BF54" i="12" s="1"/>
  <c r="BD49" i="12"/>
  <c r="BF49" i="12" s="1"/>
  <c r="BH49" i="12" s="1"/>
  <c r="BD50" i="12"/>
  <c r="BF50" i="12" s="1"/>
  <c r="BD52" i="12"/>
  <c r="BF52" i="12" s="1"/>
  <c r="BI199" i="12"/>
  <c r="BD263" i="12"/>
  <c r="BF263" i="12" s="1"/>
  <c r="BD264" i="12"/>
  <c r="BF264" i="12" s="1"/>
  <c r="BD259" i="12"/>
  <c r="BF259" i="12" s="1"/>
  <c r="BH259" i="12" s="1"/>
  <c r="BD262" i="12"/>
  <c r="BF262" i="12" s="1"/>
  <c r="BD261" i="12"/>
  <c r="BF261" i="12" s="1"/>
  <c r="BD260" i="12"/>
  <c r="BF260" i="12" s="1"/>
  <c r="BC263" i="12"/>
  <c r="BE263" i="12" s="1"/>
  <c r="BC261" i="12"/>
  <c r="BE261" i="12" s="1"/>
  <c r="BC260" i="12"/>
  <c r="BE260" i="12" s="1"/>
  <c r="BC264" i="12"/>
  <c r="BE264" i="12" s="1"/>
  <c r="BC262" i="12"/>
  <c r="BE262" i="12" s="1"/>
  <c r="BC259" i="12"/>
  <c r="BE259" i="12" s="1"/>
  <c r="BG259" i="12" s="1"/>
  <c r="BD174" i="12"/>
  <c r="BF174" i="12" s="1"/>
  <c r="BD169" i="12"/>
  <c r="BF169" i="12" s="1"/>
  <c r="BH169" i="12" s="1"/>
  <c r="BD171" i="12"/>
  <c r="BF171" i="12" s="1"/>
  <c r="BD172" i="12"/>
  <c r="BF172" i="12" s="1"/>
  <c r="BD170" i="12"/>
  <c r="BF170" i="12" s="1"/>
  <c r="BD173" i="12"/>
  <c r="BF173" i="12" s="1"/>
  <c r="BC172" i="12"/>
  <c r="BE172" i="12" s="1"/>
  <c r="BC169" i="12"/>
  <c r="BE169" i="12" s="1"/>
  <c r="BG169" i="12" s="1"/>
  <c r="BC173" i="12"/>
  <c r="BE173" i="12" s="1"/>
  <c r="BC170" i="12"/>
  <c r="BE170" i="12" s="1"/>
  <c r="BC171" i="12"/>
  <c r="BE171" i="12" s="1"/>
  <c r="BC174" i="12"/>
  <c r="BE174" i="12" s="1"/>
  <c r="BD81" i="12"/>
  <c r="BF81" i="12" s="1"/>
  <c r="BD82" i="12"/>
  <c r="BF82" i="12" s="1"/>
  <c r="BD84" i="12"/>
  <c r="BF84" i="12" s="1"/>
  <c r="BD79" i="12"/>
  <c r="BF79" i="12" s="1"/>
  <c r="BH79" i="12" s="1"/>
  <c r="BD80" i="12"/>
  <c r="BF80" i="12" s="1"/>
  <c r="BD83" i="12"/>
  <c r="BF83" i="12" s="1"/>
  <c r="BC83" i="12"/>
  <c r="BE83" i="12" s="1"/>
  <c r="BC79" i="12"/>
  <c r="BE79" i="12" s="1"/>
  <c r="BG79" i="12" s="1"/>
  <c r="BC82" i="12"/>
  <c r="BE82" i="12" s="1"/>
  <c r="BC81" i="12"/>
  <c r="BE81" i="12" s="1"/>
  <c r="BC84" i="12"/>
  <c r="BE84" i="12" s="1"/>
  <c r="BC80" i="12"/>
  <c r="BE80" i="12" s="1"/>
  <c r="BD244" i="12"/>
  <c r="BF244" i="12" s="1"/>
  <c r="BD242" i="12"/>
  <c r="BF242" i="12" s="1"/>
  <c r="BC241" i="12"/>
  <c r="BE241" i="12" s="1"/>
  <c r="BG241" i="12" s="1"/>
  <c r="BD243" i="12"/>
  <c r="BF243" i="12" s="1"/>
  <c r="BD241" i="12"/>
  <c r="BF241" i="12" s="1"/>
  <c r="BH241" i="12" s="1"/>
  <c r="BD245" i="12"/>
  <c r="BF245" i="12" s="1"/>
  <c r="BD246" i="12"/>
  <c r="BF246" i="12" s="1"/>
  <c r="BC245" i="12"/>
  <c r="BE245" i="12" s="1"/>
  <c r="BC246" i="12"/>
  <c r="BE246" i="12" s="1"/>
  <c r="BC243" i="12"/>
  <c r="BE243" i="12" s="1"/>
  <c r="BC244" i="12"/>
  <c r="BE244" i="12" s="1"/>
  <c r="BC242" i="12"/>
  <c r="BE242" i="12" s="1"/>
  <c r="BD195" i="12"/>
  <c r="BF195" i="12" s="1"/>
  <c r="BD194" i="12"/>
  <c r="BF194" i="12" s="1"/>
  <c r="BD197" i="12"/>
  <c r="BF197" i="12" s="1"/>
  <c r="BD193" i="12"/>
  <c r="BF193" i="12" s="1"/>
  <c r="BH193" i="12" s="1"/>
  <c r="BC196" i="12"/>
  <c r="BE196" i="12" s="1"/>
  <c r="BD196" i="12"/>
  <c r="BF196" i="12" s="1"/>
  <c r="BD198" i="12"/>
  <c r="BF198" i="12" s="1"/>
  <c r="BC195" i="12"/>
  <c r="BE195" i="12" s="1"/>
  <c r="BC193" i="12"/>
  <c r="BE193" i="12" s="1"/>
  <c r="BG193" i="12" s="1"/>
  <c r="BC197" i="12"/>
  <c r="BE197" i="12" s="1"/>
  <c r="BC194" i="12"/>
  <c r="BE194" i="12" s="1"/>
  <c r="BC198" i="12"/>
  <c r="BE198" i="12" s="1"/>
  <c r="BD154" i="12"/>
  <c r="BF154" i="12" s="1"/>
  <c r="BD152" i="12"/>
  <c r="BF152" i="12" s="1"/>
  <c r="BD151" i="12"/>
  <c r="BF151" i="12" s="1"/>
  <c r="BH151" i="12" s="1"/>
  <c r="BC153" i="12"/>
  <c r="BE153" i="12" s="1"/>
  <c r="BC155" i="12"/>
  <c r="BE155" i="12" s="1"/>
  <c r="BD156" i="12"/>
  <c r="BF156" i="12" s="1"/>
  <c r="BC151" i="12"/>
  <c r="BE151" i="12" s="1"/>
  <c r="BG151" i="12" s="1"/>
  <c r="BD153" i="12"/>
  <c r="BF153" i="12" s="1"/>
  <c r="BD155" i="12"/>
  <c r="BF155" i="12" s="1"/>
  <c r="BC154" i="12"/>
  <c r="BE154" i="12" s="1"/>
  <c r="BC156" i="12"/>
  <c r="BE156" i="12" s="1"/>
  <c r="BC152" i="12"/>
  <c r="BE152" i="12" s="1"/>
  <c r="BD290" i="12"/>
  <c r="BF290" i="12" s="1"/>
  <c r="BC291" i="12"/>
  <c r="BE291" i="12" s="1"/>
  <c r="BD292" i="12"/>
  <c r="BF292" i="12" s="1"/>
  <c r="BD294" i="12"/>
  <c r="BF294" i="12" s="1"/>
  <c r="BD289" i="12"/>
  <c r="BF289" i="12" s="1"/>
  <c r="BH289" i="12" s="1"/>
  <c r="BC292" i="12"/>
  <c r="BE292" i="12" s="1"/>
  <c r="BD293" i="12"/>
  <c r="BF293" i="12" s="1"/>
  <c r="BC290" i="12"/>
  <c r="BE290" i="12" s="1"/>
  <c r="BC289" i="12"/>
  <c r="BE289" i="12" s="1"/>
  <c r="BG289" i="12" s="1"/>
  <c r="BC293" i="12"/>
  <c r="BE293" i="12" s="1"/>
  <c r="BC294" i="12"/>
  <c r="BE294" i="12" s="1"/>
  <c r="BD291" i="12"/>
  <c r="BF291" i="12" s="1"/>
  <c r="BC157" i="12"/>
  <c r="BE157" i="12" s="1"/>
  <c r="BG157" i="12" s="1"/>
  <c r="BD159" i="12"/>
  <c r="BF159" i="12" s="1"/>
  <c r="BD162" i="12"/>
  <c r="BF162" i="12" s="1"/>
  <c r="BD158" i="12"/>
  <c r="BF158" i="12" s="1"/>
  <c r="BD160" i="12"/>
  <c r="BF160" i="12" s="1"/>
  <c r="BD157" i="12"/>
  <c r="BF157" i="12" s="1"/>
  <c r="BH157" i="12" s="1"/>
  <c r="BC161" i="12"/>
  <c r="BE161" i="12" s="1"/>
  <c r="BC159" i="12"/>
  <c r="BE159" i="12" s="1"/>
  <c r="BD161" i="12"/>
  <c r="BF161" i="12" s="1"/>
  <c r="BC162" i="12"/>
  <c r="BE162" i="12" s="1"/>
  <c r="BC160" i="12"/>
  <c r="BE160" i="12" s="1"/>
  <c r="BC158" i="12"/>
  <c r="BE158" i="12" s="1"/>
  <c r="BD148" i="12"/>
  <c r="BF148" i="12" s="1"/>
  <c r="BD147" i="12"/>
  <c r="BF147" i="12" s="1"/>
  <c r="BD149" i="12"/>
  <c r="BF149" i="12" s="1"/>
  <c r="BD150" i="12"/>
  <c r="BF150" i="12" s="1"/>
  <c r="BD145" i="12"/>
  <c r="BF145" i="12" s="1"/>
  <c r="BH145" i="12" s="1"/>
  <c r="BC147" i="12"/>
  <c r="BE147" i="12" s="1"/>
  <c r="BC150" i="12"/>
  <c r="BE150" i="12" s="1"/>
  <c r="BC146" i="12"/>
  <c r="BE146" i="12" s="1"/>
  <c r="BC145" i="12"/>
  <c r="BE145" i="12" s="1"/>
  <c r="BG145" i="12" s="1"/>
  <c r="BC149" i="12"/>
  <c r="BE149" i="12" s="1"/>
  <c r="BC148" i="12"/>
  <c r="BE148" i="12" s="1"/>
  <c r="BD146" i="12"/>
  <c r="BF146" i="12" s="1"/>
  <c r="BD107" i="12"/>
  <c r="BF107" i="12" s="1"/>
  <c r="BD105" i="12"/>
  <c r="BF105" i="12" s="1"/>
  <c r="BC107" i="12"/>
  <c r="BE107" i="12" s="1"/>
  <c r="BC103" i="12"/>
  <c r="BE103" i="12" s="1"/>
  <c r="BG103" i="12" s="1"/>
  <c r="BD106" i="12"/>
  <c r="BF106" i="12" s="1"/>
  <c r="BC105" i="12"/>
  <c r="BE105" i="12" s="1"/>
  <c r="BD104" i="12"/>
  <c r="BF104" i="12" s="1"/>
  <c r="BD108" i="12"/>
  <c r="BF108" i="12" s="1"/>
  <c r="BC104" i="12"/>
  <c r="BE104" i="12" s="1"/>
  <c r="BD103" i="12"/>
  <c r="BF103" i="12" s="1"/>
  <c r="BH103" i="12" s="1"/>
  <c r="BI103" i="12" s="1"/>
  <c r="BC108" i="12"/>
  <c r="BE108" i="12" s="1"/>
  <c r="BC106" i="12"/>
  <c r="BE106" i="12" s="1"/>
  <c r="BH7" i="12"/>
  <c r="BD359" i="12"/>
  <c r="BF359" i="12" s="1"/>
  <c r="BD358" i="12"/>
  <c r="BF358" i="12" s="1"/>
  <c r="BD357" i="12"/>
  <c r="BF357" i="12" s="1"/>
  <c r="BD360" i="12"/>
  <c r="BF360" i="12" s="1"/>
  <c r="BD356" i="12"/>
  <c r="BF356" i="12" s="1"/>
  <c r="BC359" i="12"/>
  <c r="BE359" i="12" s="1"/>
  <c r="BC355" i="12"/>
  <c r="BE355" i="12" s="1"/>
  <c r="BG355" i="12" s="1"/>
  <c r="BD355" i="12"/>
  <c r="BF355" i="12" s="1"/>
  <c r="BH355" i="12" s="1"/>
  <c r="BC357" i="12"/>
  <c r="BE357" i="12" s="1"/>
  <c r="BC358" i="12"/>
  <c r="BE358" i="12" s="1"/>
  <c r="BC356" i="12"/>
  <c r="BE356" i="12" s="1"/>
  <c r="BC360" i="12"/>
  <c r="BE360" i="12" s="1"/>
  <c r="BD77" i="12"/>
  <c r="BF77" i="12" s="1"/>
  <c r="BD74" i="12"/>
  <c r="BF74" i="12" s="1"/>
  <c r="BD76" i="12"/>
  <c r="BF76" i="12" s="1"/>
  <c r="BC78" i="12"/>
  <c r="BE78" i="12" s="1"/>
  <c r="BD78" i="12"/>
  <c r="BF78" i="12" s="1"/>
  <c r="BC73" i="12"/>
  <c r="BE73" i="12" s="1"/>
  <c r="BG73" i="12" s="1"/>
  <c r="BI73" i="12" s="1"/>
  <c r="BC75" i="12"/>
  <c r="BE75" i="12" s="1"/>
  <c r="BC76" i="12"/>
  <c r="BE76" i="12" s="1"/>
  <c r="BD73" i="12"/>
  <c r="BF73" i="12" s="1"/>
  <c r="BH73" i="12" s="1"/>
  <c r="BC74" i="12"/>
  <c r="BE74" i="12" s="1"/>
  <c r="BD75" i="12"/>
  <c r="BF75" i="12" s="1"/>
  <c r="BC77" i="12"/>
  <c r="BE77" i="12" s="1"/>
  <c r="BD176" i="12"/>
  <c r="BF176" i="12" s="1"/>
  <c r="BD180" i="12"/>
  <c r="BF180" i="12" s="1"/>
  <c r="BD179" i="12"/>
  <c r="BF179" i="12" s="1"/>
  <c r="BD178" i="12"/>
  <c r="BF178" i="12" s="1"/>
  <c r="BD175" i="12"/>
  <c r="BF175" i="12" s="1"/>
  <c r="BH175" i="12" s="1"/>
  <c r="BD177" i="12"/>
  <c r="BF177" i="12" s="1"/>
  <c r="BC180" i="12"/>
  <c r="BE180" i="12" s="1"/>
  <c r="BC175" i="12"/>
  <c r="BE175" i="12" s="1"/>
  <c r="BG175" i="12" s="1"/>
  <c r="BC177" i="12"/>
  <c r="BE177" i="12" s="1"/>
  <c r="BC179" i="12"/>
  <c r="BE179" i="12" s="1"/>
  <c r="BC178" i="12"/>
  <c r="BE178" i="12" s="1"/>
  <c r="BC176" i="12"/>
  <c r="BE176" i="12" s="1"/>
  <c r="BD95" i="12"/>
  <c r="BF95" i="12" s="1"/>
  <c r="BD93" i="12"/>
  <c r="BF93" i="12" s="1"/>
  <c r="BD96" i="12"/>
  <c r="BF96" i="12" s="1"/>
  <c r="BD91" i="12"/>
  <c r="BF91" i="12" s="1"/>
  <c r="BH91" i="12" s="1"/>
  <c r="BC96" i="12"/>
  <c r="BE96" i="12" s="1"/>
  <c r="BD94" i="12"/>
  <c r="BF94" i="12" s="1"/>
  <c r="BC94" i="12"/>
  <c r="BE94" i="12" s="1"/>
  <c r="BC91" i="12"/>
  <c r="BE91" i="12" s="1"/>
  <c r="BG91" i="12" s="1"/>
  <c r="BD92" i="12"/>
  <c r="BF92" i="12" s="1"/>
  <c r="BC93" i="12"/>
  <c r="BE93" i="12" s="1"/>
  <c r="BC92" i="12"/>
  <c r="BE92" i="12" s="1"/>
  <c r="BC95" i="12"/>
  <c r="BE95" i="12" s="1"/>
  <c r="BC70" i="12"/>
  <c r="BE70" i="12" s="1"/>
  <c r="BC67" i="12"/>
  <c r="BE67" i="12" s="1"/>
  <c r="BG67" i="12" s="1"/>
  <c r="BC72" i="12"/>
  <c r="BE72" i="12" s="1"/>
  <c r="BC71" i="12"/>
  <c r="BE71" i="12" s="1"/>
  <c r="BC69" i="12"/>
  <c r="BE69" i="12" s="1"/>
  <c r="BC68" i="12"/>
  <c r="BE68" i="12" s="1"/>
  <c r="BD68" i="12"/>
  <c r="BF68" i="12" s="1"/>
  <c r="BD67" i="12"/>
  <c r="BF67" i="12" s="1"/>
  <c r="BH67" i="12" s="1"/>
  <c r="BD69" i="12"/>
  <c r="BF69" i="12" s="1"/>
  <c r="BD71" i="12"/>
  <c r="BF71" i="12" s="1"/>
  <c r="BD72" i="12"/>
  <c r="BF72" i="12" s="1"/>
  <c r="BD70" i="12"/>
  <c r="BF70" i="12" s="1"/>
  <c r="BD352" i="12"/>
  <c r="BF352" i="12" s="1"/>
  <c r="BC352" i="12"/>
  <c r="BE352" i="12" s="1"/>
  <c r="BD354" i="12"/>
  <c r="BF354" i="12" s="1"/>
  <c r="BC351" i="12"/>
  <c r="BE351" i="12" s="1"/>
  <c r="BD353" i="12"/>
  <c r="BF353" i="12" s="1"/>
  <c r="BC353" i="12"/>
  <c r="BE353" i="12" s="1"/>
  <c r="BC354" i="12"/>
  <c r="BE354" i="12" s="1"/>
  <c r="BC350" i="12"/>
  <c r="BE350" i="12" s="1"/>
  <c r="BC349" i="12"/>
  <c r="BE349" i="12" s="1"/>
  <c r="BG349" i="12" s="1"/>
  <c r="BD349" i="12"/>
  <c r="BF349" i="12" s="1"/>
  <c r="BH349" i="12" s="1"/>
  <c r="BD351" i="12"/>
  <c r="BF351" i="12" s="1"/>
  <c r="BD350" i="12"/>
  <c r="BF350" i="12" s="1"/>
  <c r="BD215" i="12"/>
  <c r="BF215" i="12" s="1"/>
  <c r="BD212" i="12"/>
  <c r="BF212" i="12" s="1"/>
  <c r="BC214" i="12"/>
  <c r="BE214" i="12" s="1"/>
  <c r="BC215" i="12"/>
  <c r="BE215" i="12" s="1"/>
  <c r="BD211" i="12"/>
  <c r="BF211" i="12" s="1"/>
  <c r="BH211" i="12" s="1"/>
  <c r="BC211" i="12"/>
  <c r="BE211" i="12" s="1"/>
  <c r="BG211" i="12" s="1"/>
  <c r="BD214" i="12"/>
  <c r="BF214" i="12" s="1"/>
  <c r="BC213" i="12"/>
  <c r="BE213" i="12" s="1"/>
  <c r="BD216" i="12"/>
  <c r="BF216" i="12" s="1"/>
  <c r="BD213" i="12"/>
  <c r="BF213" i="12" s="1"/>
  <c r="BC216" i="12"/>
  <c r="BE216" i="12" s="1"/>
  <c r="BC212" i="12"/>
  <c r="BE212" i="12" s="1"/>
  <c r="BC271" i="12"/>
  <c r="BE271" i="12" s="1"/>
  <c r="BG271" i="12" s="1"/>
  <c r="BD271" i="12"/>
  <c r="BF271" i="12" s="1"/>
  <c r="BH271" i="12" s="1"/>
  <c r="BD272" i="12"/>
  <c r="BF272" i="12" s="1"/>
  <c r="BD273" i="12"/>
  <c r="BF273" i="12" s="1"/>
  <c r="BC275" i="12"/>
  <c r="BE275" i="12" s="1"/>
  <c r="BD276" i="12"/>
  <c r="BF276" i="12" s="1"/>
  <c r="BC274" i="12"/>
  <c r="BE274" i="12" s="1"/>
  <c r="BC273" i="12"/>
  <c r="BE273" i="12" s="1"/>
  <c r="BD275" i="12"/>
  <c r="BF275" i="12" s="1"/>
  <c r="BC272" i="12"/>
  <c r="BE272" i="12" s="1"/>
  <c r="BD274" i="12"/>
  <c r="BF274" i="12" s="1"/>
  <c r="BC276" i="12"/>
  <c r="BE276" i="12" s="1"/>
  <c r="AN227" i="10"/>
  <c r="AP227" i="10" s="1"/>
  <c r="AN228" i="10"/>
  <c r="AP228" i="10" s="1"/>
  <c r="AN223" i="10"/>
  <c r="AP223" i="10" s="1"/>
  <c r="AN224" i="10"/>
  <c r="AP224" i="10" s="1"/>
  <c r="AN226" i="10"/>
  <c r="AP226" i="10" s="1"/>
  <c r="AN225" i="10"/>
  <c r="AP225" i="10" s="1"/>
  <c r="BD116" i="12"/>
  <c r="BF116" i="12" s="1"/>
  <c r="BD117" i="12"/>
  <c r="BF117" i="12" s="1"/>
  <c r="BD119" i="12"/>
  <c r="BF119" i="12" s="1"/>
  <c r="BC116" i="12"/>
  <c r="BE116" i="12" s="1"/>
  <c r="BC119" i="12"/>
  <c r="BE119" i="12" s="1"/>
  <c r="BC115" i="12"/>
  <c r="BE115" i="12" s="1"/>
  <c r="BG115" i="12" s="1"/>
  <c r="BD118" i="12"/>
  <c r="BF118" i="12" s="1"/>
  <c r="BC117" i="12"/>
  <c r="BE117" i="12" s="1"/>
  <c r="BC120" i="12"/>
  <c r="BE120" i="12" s="1"/>
  <c r="BD120" i="12"/>
  <c r="BF120" i="12" s="1"/>
  <c r="BD115" i="12"/>
  <c r="BF115" i="12" s="1"/>
  <c r="BH115" i="12" s="1"/>
  <c r="BC118" i="12"/>
  <c r="BE118" i="12" s="1"/>
  <c r="BD133" i="12"/>
  <c r="BF133" i="12" s="1"/>
  <c r="BH133" i="12" s="1"/>
  <c r="BD136" i="12"/>
  <c r="BF136" i="12" s="1"/>
  <c r="BD134" i="12"/>
  <c r="BF134" i="12" s="1"/>
  <c r="BD135" i="12"/>
  <c r="BF135" i="12" s="1"/>
  <c r="BD138" i="12"/>
  <c r="BF138" i="12" s="1"/>
  <c r="BC133" i="12"/>
  <c r="BE133" i="12" s="1"/>
  <c r="BG133" i="12" s="1"/>
  <c r="BC135" i="12"/>
  <c r="BE135" i="12" s="1"/>
  <c r="BC138" i="12"/>
  <c r="BE138" i="12" s="1"/>
  <c r="BC137" i="12"/>
  <c r="BE137" i="12" s="1"/>
  <c r="BC136" i="12"/>
  <c r="BE136" i="12" s="1"/>
  <c r="BD137" i="12"/>
  <c r="BF137" i="12" s="1"/>
  <c r="BC134" i="12"/>
  <c r="BE134" i="12" s="1"/>
  <c r="BD229" i="12"/>
  <c r="BF229" i="12" s="1"/>
  <c r="BH229" i="12" s="1"/>
  <c r="BD233" i="12"/>
  <c r="BF233" i="12" s="1"/>
  <c r="BD231" i="12"/>
  <c r="BF231" i="12" s="1"/>
  <c r="BD232" i="12"/>
  <c r="BF232" i="12" s="1"/>
  <c r="BD234" i="12"/>
  <c r="BF234" i="12" s="1"/>
  <c r="BD230" i="12"/>
  <c r="BF230" i="12" s="1"/>
  <c r="BC231" i="12"/>
  <c r="BE231" i="12" s="1"/>
  <c r="BC233" i="12"/>
  <c r="BE233" i="12" s="1"/>
  <c r="BC230" i="12"/>
  <c r="BE230" i="12" s="1"/>
  <c r="BC232" i="12"/>
  <c r="BE232" i="12" s="1"/>
  <c r="BC234" i="12"/>
  <c r="BE234" i="12" s="1"/>
  <c r="BC229" i="12"/>
  <c r="BE229" i="12" s="1"/>
  <c r="BG229" i="12" s="1"/>
  <c r="BD126" i="12"/>
  <c r="BF126" i="12" s="1"/>
  <c r="BD121" i="12"/>
  <c r="BF121" i="12" s="1"/>
  <c r="BH121" i="12" s="1"/>
  <c r="BD123" i="12"/>
  <c r="BF123" i="12" s="1"/>
  <c r="BD125" i="12"/>
  <c r="BF125" i="12" s="1"/>
  <c r="BD122" i="12"/>
  <c r="BF122" i="12" s="1"/>
  <c r="BD124" i="12"/>
  <c r="BF124" i="12" s="1"/>
  <c r="BC124" i="12"/>
  <c r="BE124" i="12" s="1"/>
  <c r="BC126" i="12"/>
  <c r="BE126" i="12" s="1"/>
  <c r="BC123" i="12"/>
  <c r="BE123" i="12" s="1"/>
  <c r="BC122" i="12"/>
  <c r="BE122" i="12" s="1"/>
  <c r="BC125" i="12"/>
  <c r="BE125" i="12" s="1"/>
  <c r="BC121" i="12"/>
  <c r="BE121" i="12" s="1"/>
  <c r="BG121" i="12" s="1"/>
  <c r="BG7" i="12"/>
  <c r="BD110" i="12"/>
  <c r="BF110" i="12" s="1"/>
  <c r="BD112" i="12"/>
  <c r="BF112" i="12" s="1"/>
  <c r="BD109" i="12"/>
  <c r="BF109" i="12" s="1"/>
  <c r="BH109" i="12" s="1"/>
  <c r="BC110" i="12"/>
  <c r="BE110" i="12" s="1"/>
  <c r="BC111" i="12"/>
  <c r="BE111" i="12" s="1"/>
  <c r="BD111" i="12"/>
  <c r="BF111" i="12" s="1"/>
  <c r="BC109" i="12"/>
  <c r="BE109" i="12" s="1"/>
  <c r="BG109" i="12" s="1"/>
  <c r="BD114" i="12"/>
  <c r="BF114" i="12" s="1"/>
  <c r="BC114" i="12"/>
  <c r="BE114" i="12" s="1"/>
  <c r="BC113" i="12"/>
  <c r="BE113" i="12" s="1"/>
  <c r="BD113" i="12"/>
  <c r="BF113" i="12" s="1"/>
  <c r="BC112" i="12"/>
  <c r="BE112" i="12" s="1"/>
  <c r="BD323" i="12"/>
  <c r="BF323" i="12" s="1"/>
  <c r="BD319" i="12"/>
  <c r="BF319" i="12" s="1"/>
  <c r="BH319" i="12" s="1"/>
  <c r="BD324" i="12"/>
  <c r="BF324" i="12" s="1"/>
  <c r="BD322" i="12"/>
  <c r="BF322" i="12" s="1"/>
  <c r="BD320" i="12"/>
  <c r="BF320" i="12" s="1"/>
  <c r="BD321" i="12"/>
  <c r="BF321" i="12" s="1"/>
  <c r="BC322" i="12"/>
  <c r="BE322" i="12" s="1"/>
  <c r="BC320" i="12"/>
  <c r="BE320" i="12" s="1"/>
  <c r="BC321" i="12"/>
  <c r="BE321" i="12" s="1"/>
  <c r="BC324" i="12"/>
  <c r="BE324" i="12" s="1"/>
  <c r="BC323" i="12"/>
  <c r="BE323" i="12" s="1"/>
  <c r="BC319" i="12"/>
  <c r="BE319" i="12" s="1"/>
  <c r="BG319" i="12" s="1"/>
  <c r="BD268" i="12"/>
  <c r="BF268" i="12" s="1"/>
  <c r="BD270" i="12"/>
  <c r="BF270" i="12" s="1"/>
  <c r="BD267" i="12"/>
  <c r="BF267" i="12" s="1"/>
  <c r="BD269" i="12"/>
  <c r="BF269" i="12" s="1"/>
  <c r="BD266" i="12"/>
  <c r="BF266" i="12" s="1"/>
  <c r="BD265" i="12"/>
  <c r="BF265" i="12" s="1"/>
  <c r="BH265" i="12" s="1"/>
  <c r="BC269" i="12"/>
  <c r="BE269" i="12" s="1"/>
  <c r="BC268" i="12"/>
  <c r="BE268" i="12" s="1"/>
  <c r="BC265" i="12"/>
  <c r="BE265" i="12" s="1"/>
  <c r="BG265" i="12" s="1"/>
  <c r="BC267" i="12"/>
  <c r="BE267" i="12" s="1"/>
  <c r="BC270" i="12"/>
  <c r="BE270" i="12" s="1"/>
  <c r="BC266" i="12"/>
  <c r="BE266" i="12" s="1"/>
  <c r="BD362" i="12"/>
  <c r="BF362" i="12" s="1"/>
  <c r="BD364" i="12"/>
  <c r="BF364" i="12" s="1"/>
  <c r="BD366" i="12"/>
  <c r="BF366" i="12" s="1"/>
  <c r="BD361" i="12"/>
  <c r="BF361" i="12" s="1"/>
  <c r="BH361" i="12" s="1"/>
  <c r="BC364" i="12"/>
  <c r="BE364" i="12" s="1"/>
  <c r="BC365" i="12"/>
  <c r="BE365" i="12" s="1"/>
  <c r="BD365" i="12"/>
  <c r="BF365" i="12" s="1"/>
  <c r="BC362" i="12"/>
  <c r="BE362" i="12" s="1"/>
  <c r="BC363" i="12"/>
  <c r="BE363" i="12" s="1"/>
  <c r="BD363" i="12"/>
  <c r="BF363" i="12" s="1"/>
  <c r="BC366" i="12"/>
  <c r="BE366" i="12" s="1"/>
  <c r="BC361" i="12"/>
  <c r="BE361" i="12" s="1"/>
  <c r="BG361" i="12" s="1"/>
  <c r="BC45" i="12"/>
  <c r="BE45" i="12" s="1"/>
  <c r="BC47" i="12"/>
  <c r="BE47" i="12" s="1"/>
  <c r="BC48" i="12"/>
  <c r="BE48" i="12" s="1"/>
  <c r="BC43" i="12"/>
  <c r="BE43" i="12" s="1"/>
  <c r="BG43" i="12" s="1"/>
  <c r="BC46" i="12"/>
  <c r="BE46" i="12" s="1"/>
  <c r="BC44" i="12"/>
  <c r="BE44" i="12" s="1"/>
  <c r="BD45" i="12"/>
  <c r="BF45" i="12" s="1"/>
  <c r="BD46" i="12"/>
  <c r="BF46" i="12" s="1"/>
  <c r="BD48" i="12"/>
  <c r="BF48" i="12" s="1"/>
  <c r="BD47" i="12"/>
  <c r="BF47" i="12" s="1"/>
  <c r="BD44" i="12"/>
  <c r="BF44" i="12" s="1"/>
  <c r="BD43" i="12"/>
  <c r="BF43" i="12" s="1"/>
  <c r="BH43" i="12" s="1"/>
  <c r="BI43" i="12" s="1"/>
  <c r="BD191" i="12"/>
  <c r="BF191" i="12" s="1"/>
  <c r="BD192" i="12"/>
  <c r="BF192" i="12" s="1"/>
  <c r="BD190" i="12"/>
  <c r="BF190" i="12" s="1"/>
  <c r="BC192" i="12"/>
  <c r="BE192" i="12" s="1"/>
  <c r="BC189" i="12"/>
  <c r="BE189" i="12" s="1"/>
  <c r="BC187" i="12"/>
  <c r="BE187" i="12" s="1"/>
  <c r="BG187" i="12" s="1"/>
  <c r="BC191" i="12"/>
  <c r="BE191" i="12" s="1"/>
  <c r="BD188" i="12"/>
  <c r="BF188" i="12" s="1"/>
  <c r="BD189" i="12"/>
  <c r="BF189" i="12" s="1"/>
  <c r="BD187" i="12"/>
  <c r="BF187" i="12" s="1"/>
  <c r="BH187" i="12" s="1"/>
  <c r="BI187" i="12" s="1"/>
  <c r="BC188" i="12"/>
  <c r="BE188" i="12" s="1"/>
  <c r="BC190" i="12"/>
  <c r="BE190" i="12" s="1"/>
  <c r="BD314" i="12"/>
  <c r="BF314" i="12" s="1"/>
  <c r="BD313" i="12"/>
  <c r="BF313" i="12" s="1"/>
  <c r="BH313" i="12" s="1"/>
  <c r="BC316" i="12"/>
  <c r="BE316" i="12" s="1"/>
  <c r="BD316" i="12"/>
  <c r="BF316" i="12" s="1"/>
  <c r="BD317" i="12"/>
  <c r="BF317" i="12" s="1"/>
  <c r="BD315" i="12"/>
  <c r="BF315" i="12" s="1"/>
  <c r="BD318" i="12"/>
  <c r="BF318" i="12" s="1"/>
  <c r="BC313" i="12"/>
  <c r="BE313" i="12" s="1"/>
  <c r="BG313" i="12" s="1"/>
  <c r="BI313" i="12" s="1"/>
  <c r="BC314" i="12"/>
  <c r="BE314" i="12" s="1"/>
  <c r="BC315" i="12"/>
  <c r="BE315" i="12" s="1"/>
  <c r="BC317" i="12"/>
  <c r="BE317" i="12" s="1"/>
  <c r="BC318" i="12"/>
  <c r="BE318" i="12" s="1"/>
  <c r="BD144" i="12"/>
  <c r="BF144" i="12" s="1"/>
  <c r="BD142" i="12"/>
  <c r="BF142" i="12" s="1"/>
  <c r="BD143" i="12"/>
  <c r="BF143" i="12" s="1"/>
  <c r="BD141" i="12"/>
  <c r="BF141" i="12" s="1"/>
  <c r="BC141" i="12"/>
  <c r="BE141" i="12" s="1"/>
  <c r="BD139" i="12"/>
  <c r="BF139" i="12" s="1"/>
  <c r="BH139" i="12" s="1"/>
  <c r="BC142" i="12"/>
  <c r="BE142" i="12" s="1"/>
  <c r="BC140" i="12"/>
  <c r="BE140" i="12" s="1"/>
  <c r="BD140" i="12"/>
  <c r="BF140" i="12" s="1"/>
  <c r="BC143" i="12"/>
  <c r="BE143" i="12" s="1"/>
  <c r="BC144" i="12"/>
  <c r="BE144" i="12" s="1"/>
  <c r="BC139" i="12"/>
  <c r="BE139" i="12" s="1"/>
  <c r="BG139" i="12" s="1"/>
  <c r="BD219" i="12"/>
  <c r="BF219" i="12" s="1"/>
  <c r="BD222" i="12"/>
  <c r="BF222" i="12" s="1"/>
  <c r="BD217" i="12"/>
  <c r="BF217" i="12" s="1"/>
  <c r="BH217" i="12" s="1"/>
  <c r="BC217" i="12"/>
  <c r="BE217" i="12" s="1"/>
  <c r="BG217" i="12" s="1"/>
  <c r="BC219" i="12"/>
  <c r="BE219" i="12" s="1"/>
  <c r="BC220" i="12"/>
  <c r="BE220" i="12" s="1"/>
  <c r="BD220" i="12"/>
  <c r="BF220" i="12" s="1"/>
  <c r="BC221" i="12"/>
  <c r="BE221" i="12" s="1"/>
  <c r="BD218" i="12"/>
  <c r="BF218" i="12" s="1"/>
  <c r="BC218" i="12"/>
  <c r="BE218" i="12" s="1"/>
  <c r="BC222" i="12"/>
  <c r="BE222" i="12" s="1"/>
  <c r="BD221" i="12"/>
  <c r="BF221" i="12" s="1"/>
  <c r="BI31" i="12"/>
  <c r="BI163" i="12"/>
  <c r="BC29" i="12"/>
  <c r="BE29" i="12" s="1"/>
  <c r="BC25" i="12"/>
  <c r="BE25" i="12" s="1"/>
  <c r="BG25" i="12" s="1"/>
  <c r="BC30" i="12"/>
  <c r="BE30" i="12" s="1"/>
  <c r="BC28" i="12"/>
  <c r="BE28" i="12" s="1"/>
  <c r="BC26" i="12"/>
  <c r="BE26" i="12" s="1"/>
  <c r="BC27" i="12"/>
  <c r="BE27" i="12" s="1"/>
  <c r="BD27" i="12"/>
  <c r="BF27" i="12" s="1"/>
  <c r="BD29" i="12"/>
  <c r="BF29" i="12" s="1"/>
  <c r="BD30" i="12"/>
  <c r="BF30" i="12" s="1"/>
  <c r="BD25" i="12"/>
  <c r="BF25" i="12" s="1"/>
  <c r="BH25" i="12" s="1"/>
  <c r="BD26" i="12"/>
  <c r="BF26" i="12" s="1"/>
  <c r="BD28" i="12"/>
  <c r="BF28" i="12" s="1"/>
  <c r="BD87" i="12"/>
  <c r="BF87" i="12" s="1"/>
  <c r="BD89" i="12"/>
  <c r="BF89" i="12" s="1"/>
  <c r="BC85" i="12"/>
  <c r="BE85" i="12" s="1"/>
  <c r="BG85" i="12" s="1"/>
  <c r="BC86" i="12"/>
  <c r="BE86" i="12" s="1"/>
  <c r="BD90" i="12"/>
  <c r="BF90" i="12" s="1"/>
  <c r="BC89" i="12"/>
  <c r="BE89" i="12" s="1"/>
  <c r="BD85" i="12"/>
  <c r="BF85" i="12" s="1"/>
  <c r="BH85" i="12" s="1"/>
  <c r="BD86" i="12"/>
  <c r="BF86" i="12" s="1"/>
  <c r="BC87" i="12"/>
  <c r="BE87" i="12" s="1"/>
  <c r="BD88" i="12"/>
  <c r="BF88" i="12" s="1"/>
  <c r="BC88" i="12"/>
  <c r="BE88" i="12" s="1"/>
  <c r="BC90" i="12"/>
  <c r="BE90" i="12" s="1"/>
  <c r="BC63" i="12"/>
  <c r="BE63" i="12" s="1"/>
  <c r="BC65" i="12"/>
  <c r="BE65" i="12" s="1"/>
  <c r="BC61" i="12"/>
  <c r="BE61" i="12" s="1"/>
  <c r="BG61" i="12" s="1"/>
  <c r="BC66" i="12"/>
  <c r="BE66" i="12" s="1"/>
  <c r="BC64" i="12"/>
  <c r="BE64" i="12" s="1"/>
  <c r="BC62" i="12"/>
  <c r="BE62" i="12" s="1"/>
  <c r="BD61" i="12"/>
  <c r="BF61" i="12" s="1"/>
  <c r="BH61" i="12" s="1"/>
  <c r="BI61" i="12" s="1"/>
  <c r="BD66" i="12"/>
  <c r="BF66" i="12" s="1"/>
  <c r="BD64" i="12"/>
  <c r="BF64" i="12" s="1"/>
  <c r="BD63" i="12"/>
  <c r="BF63" i="12" s="1"/>
  <c r="BD65" i="12"/>
  <c r="BF65" i="12" s="1"/>
  <c r="BD62" i="12"/>
  <c r="BF62" i="12" s="1"/>
  <c r="BD250" i="12"/>
  <c r="BF250" i="12" s="1"/>
  <c r="BD249" i="12"/>
  <c r="BF249" i="12" s="1"/>
  <c r="BD251" i="12"/>
  <c r="BF251" i="12" s="1"/>
  <c r="BD252" i="12"/>
  <c r="BF252" i="12" s="1"/>
  <c r="BC252" i="12"/>
  <c r="BE252" i="12" s="1"/>
  <c r="BD247" i="12"/>
  <c r="BF247" i="12" s="1"/>
  <c r="BH247" i="12" s="1"/>
  <c r="BC251" i="12"/>
  <c r="BE251" i="12" s="1"/>
  <c r="BC247" i="12"/>
  <c r="BE247" i="12" s="1"/>
  <c r="BG247" i="12" s="1"/>
  <c r="BD248" i="12"/>
  <c r="BF248" i="12" s="1"/>
  <c r="BC248" i="12"/>
  <c r="BE248" i="12" s="1"/>
  <c r="BC249" i="12"/>
  <c r="BE249" i="12" s="1"/>
  <c r="BC250" i="12"/>
  <c r="BE250" i="12" s="1"/>
  <c r="BD239" i="12"/>
  <c r="BF239" i="12" s="1"/>
  <c r="BD237" i="12"/>
  <c r="BF237" i="12" s="1"/>
  <c r="BD240" i="12"/>
  <c r="BF240" i="12" s="1"/>
  <c r="BC240" i="12"/>
  <c r="BE240" i="12" s="1"/>
  <c r="BD236" i="12"/>
  <c r="BF236" i="12" s="1"/>
  <c r="BC236" i="12"/>
  <c r="BE236" i="12" s="1"/>
  <c r="BC237" i="12"/>
  <c r="BE237" i="12" s="1"/>
  <c r="BC239" i="12"/>
  <c r="BE239" i="12" s="1"/>
  <c r="BD235" i="12"/>
  <c r="BF235" i="12" s="1"/>
  <c r="BH235" i="12" s="1"/>
  <c r="BC238" i="12"/>
  <c r="BE238" i="12" s="1"/>
  <c r="BD238" i="12"/>
  <c r="BF238" i="12" s="1"/>
  <c r="BC235" i="12"/>
  <c r="BE235" i="12" s="1"/>
  <c r="BG235" i="12" s="1"/>
  <c r="BD338" i="12"/>
  <c r="BF338" i="12" s="1"/>
  <c r="BD339" i="12"/>
  <c r="BF339" i="12" s="1"/>
  <c r="BD341" i="12"/>
  <c r="BF341" i="12" s="1"/>
  <c r="BC341" i="12"/>
  <c r="BE341" i="12" s="1"/>
  <c r="BD342" i="12"/>
  <c r="BF342" i="12" s="1"/>
  <c r="BC337" i="12"/>
  <c r="BE337" i="12" s="1"/>
  <c r="BG337" i="12" s="1"/>
  <c r="BD340" i="12"/>
  <c r="BF340" i="12" s="1"/>
  <c r="BC340" i="12"/>
  <c r="BE340" i="12" s="1"/>
  <c r="BC339" i="12"/>
  <c r="BE339" i="12" s="1"/>
  <c r="BD337" i="12"/>
  <c r="BF337" i="12" s="1"/>
  <c r="BH337" i="12" s="1"/>
  <c r="BC338" i="12"/>
  <c r="BE338" i="12" s="1"/>
  <c r="BC342" i="12"/>
  <c r="BE342" i="12" s="1"/>
  <c r="BD280" i="12"/>
  <c r="BF280" i="12" s="1"/>
  <c r="BD278" i="12"/>
  <c r="BF278" i="12" s="1"/>
  <c r="BD279" i="12"/>
  <c r="BF279" i="12" s="1"/>
  <c r="BD277" i="12"/>
  <c r="BF277" i="12" s="1"/>
  <c r="BH277" i="12" s="1"/>
  <c r="BC280" i="12"/>
  <c r="BE280" i="12" s="1"/>
  <c r="BD282" i="12"/>
  <c r="BF282" i="12" s="1"/>
  <c r="BD281" i="12"/>
  <c r="BF281" i="12" s="1"/>
  <c r="BC281" i="12"/>
  <c r="BE281" i="12" s="1"/>
  <c r="BC277" i="12"/>
  <c r="BE277" i="12" s="1"/>
  <c r="BG277" i="12" s="1"/>
  <c r="BC278" i="12"/>
  <c r="BE278" i="12" s="1"/>
  <c r="BC282" i="12"/>
  <c r="BE282" i="12" s="1"/>
  <c r="BC279" i="12"/>
  <c r="BE279" i="12" s="1"/>
  <c r="BC42" i="12"/>
  <c r="BE42" i="12" s="1"/>
  <c r="BC39" i="12"/>
  <c r="BE39" i="12" s="1"/>
  <c r="BC37" i="12"/>
  <c r="BE37" i="12" s="1"/>
  <c r="BG37" i="12" s="1"/>
  <c r="BC41" i="12"/>
  <c r="BE41" i="12" s="1"/>
  <c r="BC38" i="12"/>
  <c r="BE38" i="12" s="1"/>
  <c r="BD40" i="12"/>
  <c r="BF40" i="12" s="1"/>
  <c r="BC40" i="12"/>
  <c r="BE40" i="12" s="1"/>
  <c r="BD42" i="12"/>
  <c r="BF42" i="12" s="1"/>
  <c r="BD41" i="12"/>
  <c r="BF41" i="12" s="1"/>
  <c r="BD39" i="12"/>
  <c r="BF39" i="12" s="1"/>
  <c r="BD37" i="12"/>
  <c r="BF37" i="12" s="1"/>
  <c r="BH37" i="12" s="1"/>
  <c r="BI37" i="12" s="1"/>
  <c r="BD38" i="12"/>
  <c r="BF38" i="12" s="1"/>
  <c r="BD284" i="12"/>
  <c r="BF284" i="12" s="1"/>
  <c r="BD286" i="12"/>
  <c r="BF286" i="12" s="1"/>
  <c r="BD283" i="12"/>
  <c r="BF283" i="12" s="1"/>
  <c r="BH283" i="12" s="1"/>
  <c r="BD287" i="12"/>
  <c r="BF287" i="12" s="1"/>
  <c r="BC284" i="12"/>
  <c r="BE284" i="12" s="1"/>
  <c r="BD285" i="12"/>
  <c r="BF285" i="12" s="1"/>
  <c r="BC285" i="12"/>
  <c r="BE285" i="12" s="1"/>
  <c r="BC286" i="12"/>
  <c r="BE286" i="12" s="1"/>
  <c r="BC283" i="12"/>
  <c r="BE283" i="12" s="1"/>
  <c r="BG283" i="12" s="1"/>
  <c r="BD288" i="12"/>
  <c r="BF288" i="12" s="1"/>
  <c r="BC287" i="12"/>
  <c r="BE287" i="12" s="1"/>
  <c r="BC288" i="12"/>
  <c r="BE288" i="12" s="1"/>
  <c r="BD343" i="12"/>
  <c r="BF343" i="12" s="1"/>
  <c r="BH343" i="12" s="1"/>
  <c r="BD348" i="12"/>
  <c r="BF348" i="12" s="1"/>
  <c r="BD346" i="12"/>
  <c r="BF346" i="12" s="1"/>
  <c r="BD344" i="12"/>
  <c r="BF344" i="12" s="1"/>
  <c r="BD345" i="12"/>
  <c r="BF345" i="12" s="1"/>
  <c r="BD347" i="12"/>
  <c r="BF347" i="12" s="1"/>
  <c r="BC344" i="12"/>
  <c r="BE344" i="12" s="1"/>
  <c r="BC347" i="12"/>
  <c r="BE347" i="12" s="1"/>
  <c r="BC345" i="12"/>
  <c r="BE345" i="12" s="1"/>
  <c r="BC343" i="12"/>
  <c r="BE343" i="12" s="1"/>
  <c r="BG343" i="12" s="1"/>
  <c r="BC348" i="12"/>
  <c r="BE348" i="12" s="1"/>
  <c r="BC346" i="12"/>
  <c r="BE346" i="12" s="1"/>
  <c r="BD254" i="12"/>
  <c r="BF254" i="12" s="1"/>
  <c r="BD255" i="12"/>
  <c r="BF255" i="12" s="1"/>
  <c r="BD257" i="12"/>
  <c r="BF257" i="12" s="1"/>
  <c r="BC257" i="12"/>
  <c r="BE257" i="12" s="1"/>
  <c r="BC256" i="12"/>
  <c r="BE256" i="12" s="1"/>
  <c r="BC254" i="12"/>
  <c r="BE254" i="12" s="1"/>
  <c r="BD256" i="12"/>
  <c r="BF256" i="12" s="1"/>
  <c r="BD253" i="12"/>
  <c r="BF253" i="12" s="1"/>
  <c r="BH253" i="12" s="1"/>
  <c r="BC258" i="12"/>
  <c r="BE258" i="12" s="1"/>
  <c r="BD258" i="12"/>
  <c r="BF258" i="12" s="1"/>
  <c r="BC255" i="12"/>
  <c r="BE255" i="12" s="1"/>
  <c r="BC253" i="12"/>
  <c r="BE253" i="12" s="1"/>
  <c r="BG253" i="12" s="1"/>
  <c r="BD336" i="12"/>
  <c r="BF336" i="12" s="1"/>
  <c r="BD334" i="12"/>
  <c r="BF334" i="12" s="1"/>
  <c r="BD332" i="12"/>
  <c r="BF332" i="12" s="1"/>
  <c r="BD333" i="12"/>
  <c r="BF333" i="12" s="1"/>
  <c r="BD335" i="12"/>
  <c r="BF335" i="12" s="1"/>
  <c r="BD331" i="12"/>
  <c r="BF331" i="12" s="1"/>
  <c r="BH331" i="12" s="1"/>
  <c r="BC334" i="12"/>
  <c r="BE334" i="12" s="1"/>
  <c r="BC331" i="12"/>
  <c r="BE331" i="12" s="1"/>
  <c r="BG331" i="12" s="1"/>
  <c r="BC336" i="12"/>
  <c r="BE336" i="12" s="1"/>
  <c r="BC332" i="12"/>
  <c r="BE332" i="12" s="1"/>
  <c r="BC333" i="12"/>
  <c r="BE333" i="12" s="1"/>
  <c r="BC335" i="12"/>
  <c r="BE335" i="12" s="1"/>
  <c r="BD300" i="12"/>
  <c r="BF300" i="12" s="1"/>
  <c r="BD298" i="12"/>
  <c r="BF298" i="12" s="1"/>
  <c r="BC298" i="12"/>
  <c r="BE298" i="12" s="1"/>
  <c r="BD299" i="12"/>
  <c r="BF299" i="12" s="1"/>
  <c r="BD297" i="12"/>
  <c r="BF297" i="12" s="1"/>
  <c r="BC295" i="12"/>
  <c r="BE295" i="12" s="1"/>
  <c r="BG295" i="12" s="1"/>
  <c r="BD296" i="12"/>
  <c r="BF296" i="12" s="1"/>
  <c r="BC300" i="12"/>
  <c r="BE300" i="12" s="1"/>
  <c r="BC296" i="12"/>
  <c r="BE296" i="12" s="1"/>
  <c r="BC299" i="12"/>
  <c r="BE299" i="12" s="1"/>
  <c r="BD295" i="12"/>
  <c r="BF295" i="12" s="1"/>
  <c r="BH295" i="12" s="1"/>
  <c r="BC297" i="12"/>
  <c r="BE297" i="12" s="1"/>
  <c r="BH13" i="12"/>
  <c r="BI97" i="12"/>
  <c r="BI307" i="12"/>
  <c r="BI325" i="12"/>
  <c r="BJ343" i="6"/>
  <c r="BK343" i="6" s="1"/>
  <c r="BJ115" i="6"/>
  <c r="BK115" i="6" s="1"/>
  <c r="BJ79" i="6"/>
  <c r="BK79" i="6" s="1"/>
  <c r="BJ295" i="6"/>
  <c r="BK295" i="6" s="1"/>
  <c r="BJ67" i="6"/>
  <c r="BK67" i="6" s="1"/>
  <c r="BJ223" i="6"/>
  <c r="BK223" i="6" s="1"/>
  <c r="BJ181" i="6"/>
  <c r="BK181" i="6" s="1"/>
  <c r="BJ301" i="6"/>
  <c r="BK301" i="6" s="1"/>
  <c r="BJ337" i="6"/>
  <c r="BK337" i="6" s="1"/>
  <c r="BJ199" i="6"/>
  <c r="BK199" i="6" s="1"/>
  <c r="BJ355" i="6"/>
  <c r="BK355" i="6" s="1"/>
  <c r="BJ163" i="6"/>
  <c r="BK163" i="6" s="1"/>
  <c r="BJ361" i="6"/>
  <c r="BK361" i="6" s="1"/>
  <c r="BJ169" i="6"/>
  <c r="BK169" i="6" s="1"/>
  <c r="BJ319" i="6"/>
  <c r="BK319" i="6" s="1"/>
  <c r="BJ127" i="6"/>
  <c r="BK127" i="6" s="1"/>
  <c r="BJ277" i="6"/>
  <c r="BK277" i="6" s="1"/>
  <c r="BJ85" i="6"/>
  <c r="BK85" i="6" s="1"/>
  <c r="BJ235" i="6"/>
  <c r="BK235" i="6" s="1"/>
  <c r="BJ43" i="6"/>
  <c r="BK43" i="6" s="1"/>
  <c r="BJ205" i="6"/>
  <c r="BK205" i="6" s="1"/>
  <c r="BJ241" i="6"/>
  <c r="BK241" i="6" s="1"/>
  <c r="BJ49" i="6"/>
  <c r="BK49" i="6" s="1"/>
  <c r="BJ151" i="6"/>
  <c r="BK151" i="6" s="1"/>
  <c r="BJ271" i="6"/>
  <c r="BK271" i="6" s="1"/>
  <c r="BJ187" i="6"/>
  <c r="BK187" i="6" s="1"/>
  <c r="BJ157" i="6"/>
  <c r="BK157" i="6" s="1"/>
  <c r="BJ193" i="6"/>
  <c r="BK193" i="6" s="1"/>
  <c r="BJ307" i="6"/>
  <c r="BK307" i="6" s="1"/>
  <c r="BJ121" i="6"/>
  <c r="BK121" i="6" s="1"/>
  <c r="BJ37" i="6"/>
  <c r="BK37" i="6" s="1"/>
  <c r="BJ349" i="6"/>
  <c r="BK349" i="6" s="1"/>
  <c r="BJ259" i="6"/>
  <c r="BK259" i="6" s="1"/>
  <c r="BJ73" i="6"/>
  <c r="BK73" i="6" s="1"/>
  <c r="BJ331" i="6"/>
  <c r="BK331" i="6" s="1"/>
  <c r="BJ97" i="6"/>
  <c r="BK97" i="6" s="1"/>
  <c r="BJ313" i="6"/>
  <c r="BK313" i="6" s="1"/>
  <c r="BJ229" i="6"/>
  <c r="BK229" i="6" s="1"/>
  <c r="BJ103" i="6"/>
  <c r="BK103" i="6" s="1"/>
  <c r="BJ265" i="6"/>
  <c r="BK265" i="6" s="1"/>
  <c r="BJ31" i="6"/>
  <c r="BK31" i="6" s="1"/>
  <c r="BJ139" i="6"/>
  <c r="BK139" i="6" s="1"/>
  <c r="BJ109" i="6"/>
  <c r="BK109" i="6" s="1"/>
  <c r="BJ247" i="6"/>
  <c r="BK247" i="6" s="1"/>
  <c r="BJ55" i="6"/>
  <c r="BK55" i="6" s="1"/>
  <c r="BJ211" i="6"/>
  <c r="BK211" i="6" s="1"/>
  <c r="BJ19" i="6"/>
  <c r="BK19" i="6" s="1"/>
  <c r="BJ217" i="6"/>
  <c r="BK217" i="6" s="1"/>
  <c r="BJ175" i="6"/>
  <c r="BK175" i="6" s="1"/>
  <c r="BJ325" i="6"/>
  <c r="BK325" i="6" s="1"/>
  <c r="BJ133" i="6"/>
  <c r="BK133" i="6" s="1"/>
  <c r="BJ283" i="6"/>
  <c r="BK283" i="6" s="1"/>
  <c r="BJ91" i="6"/>
  <c r="BK91" i="6" s="1"/>
  <c r="BJ253" i="6"/>
  <c r="BK253" i="6" s="1"/>
  <c r="BJ61" i="6"/>
  <c r="BK61" i="6" s="1"/>
  <c r="BJ289" i="6"/>
  <c r="BK289" i="6" s="1"/>
  <c r="BJ145" i="6"/>
  <c r="BK145" i="6" s="1"/>
  <c r="AP151" i="10"/>
  <c r="AP31" i="10"/>
  <c r="AP97" i="10"/>
  <c r="AP145" i="10"/>
  <c r="AP211" i="10"/>
  <c r="AP85" i="10"/>
  <c r="AP109" i="10"/>
  <c r="AP181" i="10"/>
  <c r="BD7" i="6"/>
  <c r="BE7" i="6" s="1"/>
  <c r="BF7" i="6" s="1"/>
  <c r="AS330" i="10" l="1"/>
  <c r="AR265" i="10"/>
  <c r="AS328" i="10"/>
  <c r="AS325" i="10"/>
  <c r="AR330" i="10"/>
  <c r="AT330" i="10" s="1"/>
  <c r="AR332" i="10"/>
  <c r="AS331" i="10"/>
  <c r="AR331" i="10"/>
  <c r="AT331" i="10" s="1"/>
  <c r="AS332" i="10"/>
  <c r="AR325" i="10"/>
  <c r="AR328" i="10"/>
  <c r="AT328" i="10" s="1"/>
  <c r="AR229" i="10"/>
  <c r="AR133" i="10"/>
  <c r="AR283" i="10"/>
  <c r="AR277" i="10"/>
  <c r="AR235" i="10"/>
  <c r="AR319" i="10"/>
  <c r="AR217" i="10"/>
  <c r="AS319" i="10"/>
  <c r="AS19" i="10"/>
  <c r="AR307" i="10"/>
  <c r="AS313" i="10"/>
  <c r="AS307" i="10"/>
  <c r="AR295" i="10"/>
  <c r="BI85" i="12"/>
  <c r="BI151" i="12"/>
  <c r="BI235" i="12"/>
  <c r="BI121" i="12"/>
  <c r="BI271" i="12"/>
  <c r="BI349" i="12"/>
  <c r="AR187" i="10"/>
  <c r="AR205" i="10"/>
  <c r="AR169" i="10"/>
  <c r="AR49" i="10"/>
  <c r="AS25" i="10"/>
  <c r="AR25" i="10"/>
  <c r="AR19" i="10"/>
  <c r="AS13" i="10"/>
  <c r="AR13" i="10"/>
  <c r="AS43" i="10"/>
  <c r="AR301" i="10"/>
  <c r="AS301" i="10"/>
  <c r="AS295" i="10"/>
  <c r="AS289" i="10"/>
  <c r="AS241" i="10"/>
  <c r="AS121" i="10"/>
  <c r="AS157" i="10"/>
  <c r="AS187" i="10"/>
  <c r="AS223" i="10"/>
  <c r="AS103" i="10"/>
  <c r="AS73" i="10"/>
  <c r="AS163" i="10"/>
  <c r="AS127" i="10"/>
  <c r="AS91" i="10"/>
  <c r="AS49" i="10"/>
  <c r="AS151" i="10"/>
  <c r="AS61" i="10"/>
  <c r="AS253" i="10"/>
  <c r="AS175" i="10"/>
  <c r="AS271" i="10"/>
  <c r="AS169" i="10"/>
  <c r="AS97" i="10"/>
  <c r="AS145" i="10"/>
  <c r="AS109" i="10"/>
  <c r="AS79" i="10"/>
  <c r="AS199" i="10"/>
  <c r="AS67" i="10"/>
  <c r="AS139" i="10"/>
  <c r="AS55" i="10"/>
  <c r="AS283" i="10"/>
  <c r="AS277" i="10"/>
  <c r="AS181" i="10"/>
  <c r="AS85" i="10"/>
  <c r="AS193" i="10"/>
  <c r="AS133" i="10"/>
  <c r="AS115" i="10"/>
  <c r="AS37" i="10"/>
  <c r="AS265" i="10"/>
  <c r="AS217" i="10"/>
  <c r="AS259" i="10"/>
  <c r="AR7" i="10"/>
  <c r="AS247" i="10"/>
  <c r="AS211" i="10"/>
  <c r="AS229" i="10"/>
  <c r="AS205" i="10"/>
  <c r="AS235" i="10"/>
  <c r="BI295" i="12"/>
  <c r="BI247" i="12"/>
  <c r="BI133" i="12"/>
  <c r="BI169" i="12"/>
  <c r="AS31" i="10"/>
  <c r="BI13" i="12"/>
  <c r="BI343" i="12"/>
  <c r="BI217" i="12"/>
  <c r="BI241" i="12"/>
  <c r="BI49" i="12"/>
  <c r="BI7" i="12"/>
  <c r="BI145" i="12"/>
  <c r="BI289" i="12"/>
  <c r="BI331" i="12"/>
  <c r="BI253" i="12"/>
  <c r="BI277" i="12"/>
  <c r="BI139" i="12"/>
  <c r="BI265" i="12"/>
  <c r="BI319" i="12"/>
  <c r="BI211" i="12"/>
  <c r="BI175" i="12"/>
  <c r="BI193" i="12"/>
  <c r="BI79" i="12"/>
  <c r="BI109" i="12"/>
  <c r="BI283" i="12"/>
  <c r="BI115" i="12"/>
  <c r="BI67" i="12"/>
  <c r="BI91" i="12"/>
  <c r="BI355" i="12"/>
  <c r="BI259" i="12"/>
  <c r="BI55" i="12"/>
  <c r="BI337" i="12"/>
  <c r="BI25" i="12"/>
  <c r="BI361" i="12"/>
  <c r="BI229" i="12"/>
  <c r="BI157" i="12"/>
  <c r="BI19" i="12"/>
  <c r="AR115" i="10"/>
  <c r="AR73" i="10"/>
  <c r="AR247" i="10"/>
  <c r="AR181" i="10"/>
  <c r="AR85" i="10"/>
  <c r="AR37" i="10"/>
  <c r="AR91" i="10"/>
  <c r="AR43" i="10"/>
  <c r="AR241" i="10"/>
  <c r="AR61" i="10"/>
  <c r="AR259" i="10"/>
  <c r="AR145" i="10"/>
  <c r="AR31" i="10"/>
  <c r="AR151" i="10"/>
  <c r="AR139" i="10"/>
  <c r="AR271" i="10"/>
  <c r="AR55" i="10"/>
  <c r="AR79" i="10"/>
  <c r="AR193" i="10"/>
  <c r="AR223" i="10"/>
  <c r="AR157" i="10"/>
  <c r="AR67" i="10"/>
  <c r="AR253" i="10"/>
  <c r="AR163" i="10"/>
  <c r="AR313" i="10"/>
  <c r="AR121" i="10"/>
  <c r="AR127" i="10"/>
  <c r="AR289" i="10"/>
  <c r="AR103" i="10"/>
  <c r="AR97" i="10"/>
  <c r="AR199" i="10"/>
  <c r="AR109" i="10"/>
  <c r="AR211" i="10"/>
  <c r="AR175" i="10"/>
  <c r="BG7" i="6"/>
  <c r="BH7" i="6" s="1"/>
  <c r="AT277" i="10" l="1"/>
  <c r="AU277" i="10" s="1"/>
  <c r="AT241" i="10"/>
  <c r="AU241" i="10" s="1"/>
  <c r="AT325" i="10"/>
  <c r="AT235" i="10"/>
  <c r="AU235" i="10" s="1"/>
  <c r="AT332" i="10"/>
  <c r="AT109" i="10"/>
  <c r="AU109" i="10" s="1"/>
  <c r="AT217" i="10"/>
  <c r="AU217" i="10" s="1"/>
  <c r="AT133" i="10"/>
  <c r="AU133" i="10" s="1"/>
  <c r="AT229" i="10"/>
  <c r="AU229" i="10" s="1"/>
  <c r="AT295" i="10"/>
  <c r="AU295" i="10" s="1"/>
  <c r="AT319" i="10"/>
  <c r="AT283" i="10"/>
  <c r="AU283" i="10" s="1"/>
  <c r="AT19" i="10"/>
  <c r="AU19" i="10" s="1"/>
  <c r="AT307" i="10"/>
  <c r="AU307" i="10" s="1"/>
  <c r="AT313" i="10"/>
  <c r="AU313" i="10" s="1"/>
  <c r="AT223" i="10"/>
  <c r="AU223" i="10" s="1"/>
  <c r="AT169" i="10"/>
  <c r="AU169" i="10" s="1"/>
  <c r="AT187" i="10"/>
  <c r="AU187" i="10" s="1"/>
  <c r="AT205" i="10"/>
  <c r="AU205" i="10" s="1"/>
  <c r="AT49" i="10"/>
  <c r="AU49" i="10" s="1"/>
  <c r="AT25" i="10"/>
  <c r="AU25" i="10" s="1"/>
  <c r="AT13" i="10"/>
  <c r="AU13" i="10" s="1"/>
  <c r="AT103" i="10"/>
  <c r="AU103" i="10" s="1"/>
  <c r="AT121" i="10"/>
  <c r="AU121" i="10" s="1"/>
  <c r="AT289" i="10"/>
  <c r="AU289" i="10" s="1"/>
  <c r="AT271" i="10"/>
  <c r="AU271" i="10" s="1"/>
  <c r="AT43" i="10"/>
  <c r="AU43" i="10" s="1"/>
  <c r="AT55" i="10"/>
  <c r="AU55" i="10" s="1"/>
  <c r="AT61" i="10"/>
  <c r="AU61" i="10" s="1"/>
  <c r="AT193" i="10"/>
  <c r="AU193" i="10" s="1"/>
  <c r="AT145" i="10"/>
  <c r="AU145" i="10" s="1"/>
  <c r="AT175" i="10"/>
  <c r="AU175" i="10" s="1"/>
  <c r="AT97" i="10"/>
  <c r="AU97" i="10" s="1"/>
  <c r="AT157" i="10"/>
  <c r="AU157" i="10" s="1"/>
  <c r="AT73" i="10"/>
  <c r="AU73" i="10" s="1"/>
  <c r="AT301" i="10"/>
  <c r="AU301" i="10" s="1"/>
  <c r="AT31" i="10"/>
  <c r="AU31" i="10" s="1"/>
  <c r="AT253" i="10"/>
  <c r="AU253" i="10" s="1"/>
  <c r="AT79" i="10"/>
  <c r="AU79" i="10" s="1"/>
  <c r="AT91" i="10"/>
  <c r="AU91" i="10" s="1"/>
  <c r="AT127" i="10"/>
  <c r="AU127" i="10" s="1"/>
  <c r="AT139" i="10"/>
  <c r="AU139" i="10" s="1"/>
  <c r="AT7" i="10"/>
  <c r="AU7" i="10" s="1"/>
  <c r="AT163" i="10"/>
  <c r="AU163" i="10" s="1"/>
  <c r="AT265" i="10"/>
  <c r="AU265" i="10" s="1"/>
  <c r="AT247" i="10"/>
  <c r="AU247" i="10" s="1"/>
  <c r="AT67" i="10"/>
  <c r="AU67" i="10" s="1"/>
  <c r="AT259" i="10"/>
  <c r="AU259" i="10" s="1"/>
  <c r="AT211" i="10"/>
  <c r="AU211" i="10" s="1"/>
  <c r="AT151" i="10"/>
  <c r="AU151" i="10" s="1"/>
  <c r="AT37" i="10"/>
  <c r="AU37" i="10" s="1"/>
  <c r="AT85" i="10"/>
  <c r="AU85" i="10" s="1"/>
  <c r="AT199" i="10"/>
  <c r="AU199" i="10" s="1"/>
  <c r="AT181" i="10"/>
  <c r="AU181" i="10" s="1"/>
  <c r="AT115" i="10"/>
  <c r="AU115" i="10" s="1"/>
  <c r="BJ7" i="6"/>
  <c r="BK7" i="6" s="1"/>
  <c r="AU319" i="10" l="1"/>
  <c r="AU328" i="10"/>
  <c r="AU32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DIGITAL EXITO</author>
    <author>tc={52CC006A-3853-48FA-91A6-43FDD9A1DF14}</author>
  </authors>
  <commentList>
    <comment ref="O6" authorId="0" shapeId="0" xr:uid="{00000000-0006-0000-0100-000001000000}">
      <text>
        <r>
          <rPr>
            <b/>
            <sz val="9"/>
            <color indexed="81"/>
            <rFont val="Tahoma"/>
            <family val="2"/>
          </rPr>
          <t>MJD:</t>
        </r>
        <r>
          <rPr>
            <sz val="9"/>
            <color indexed="81"/>
            <rFont val="Tahoma"/>
            <family val="2"/>
          </rPr>
          <t xml:space="preserve">
Para una CORRECTA descripción del Control, remitirse a la Hoja CONTROLES</t>
        </r>
      </text>
    </comment>
    <comment ref="P328" authorId="1" shapeId="0" xr:uid="{52CC006A-3853-48FA-91A6-43FDD9A1DF14}">
      <text>
        <t>[Comentario encadenado]
Su versión de Excel le permite leer este comentario encadenado; sin embargo, las ediciones que se apliquen se quitarán si el archivo se abre en una versión más reciente de Excel. Más información: https://go.microsoft.com/fwlink/?linkid=870924
Comentario:
     Incumplimiento de la misionalidad del Ministerio de Justicia y del Derecho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DIGITAL EXITO</author>
    <author>LUCY MARGARITA OSORIO MASTRODOMÉNICO</author>
  </authors>
  <commentList>
    <comment ref="D6" authorId="0" shapeId="0" xr:uid="{00000000-0006-0000-0200-000001000000}">
      <text>
        <r>
          <rPr>
            <b/>
            <sz val="9"/>
            <color indexed="81"/>
            <rFont val="Tahoma"/>
            <family val="2"/>
          </rPr>
          <t>MJD:</t>
        </r>
        <r>
          <rPr>
            <sz val="9"/>
            <color indexed="81"/>
            <rFont val="Tahoma"/>
            <family val="2"/>
          </rPr>
          <t xml:space="preserve">
Para su correcta descripción remitirse a la Hoja </t>
        </r>
        <r>
          <rPr>
            <b/>
            <sz val="9"/>
            <color indexed="81"/>
            <rFont val="Tahoma"/>
            <family val="2"/>
          </rPr>
          <t>Riesgo Corrupción</t>
        </r>
      </text>
    </comment>
    <comment ref="AG6" authorId="0" shapeId="0" xr:uid="{00000000-0006-0000-0200-000002000000}">
      <text>
        <r>
          <rPr>
            <b/>
            <sz val="9"/>
            <color indexed="81"/>
            <rFont val="Tahoma"/>
            <family val="2"/>
          </rPr>
          <t xml:space="preserve">MJD:
</t>
        </r>
        <r>
          <rPr>
            <sz val="9"/>
            <color indexed="81"/>
            <rFont val="Tahoma"/>
            <family val="2"/>
          </rPr>
          <t>Para una CORRECTA descripción del Control, remitirse a la Hoja CONTROLES</t>
        </r>
      </text>
    </comment>
    <comment ref="B31" authorId="1" shapeId="0" xr:uid="{00000000-0006-0000-0200-000003000000}">
      <text>
        <r>
          <rPr>
            <i/>
            <sz val="9"/>
            <color indexed="81"/>
            <rFont val="Tahoma"/>
            <family val="2"/>
          </rPr>
          <t>LUCY MARGARITA OSORIO MASTRODOMÉNICO:</t>
        </r>
        <r>
          <rPr>
            <b/>
            <sz val="9"/>
            <color indexed="81"/>
            <rFont val="Tahoma"/>
            <family val="2"/>
          </rPr>
          <t xml:space="preserve">
Incluir Lista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DIGITAL EXITO</author>
    <author>Usuario de Windows</author>
  </authors>
  <commentList>
    <comment ref="BJ4" authorId="0" shapeId="0" xr:uid="{00000000-0006-0000-0300-000001000000}">
      <text>
        <r>
          <rPr>
            <b/>
            <sz val="9"/>
            <color indexed="81"/>
            <rFont val="Tahoma"/>
            <family val="2"/>
          </rPr>
          <t>DIGITAL EXITO:</t>
        </r>
        <r>
          <rPr>
            <sz val="9"/>
            <color indexed="81"/>
            <rFont val="Tahoma"/>
            <family val="2"/>
          </rPr>
          <t xml:space="preserve">
Diligenciar cuando la medida de respuesta sea diferente a </t>
        </r>
        <r>
          <rPr>
            <b/>
            <i/>
            <sz val="14"/>
            <color indexed="81"/>
            <rFont val="Tahoma"/>
            <family val="2"/>
          </rPr>
          <t>Asumir el Riesgo</t>
        </r>
      </text>
    </comment>
    <comment ref="M6" authorId="1" shapeId="0" xr:uid="{00000000-0006-0000-0300-000002000000}">
      <text>
        <r>
          <rPr>
            <b/>
            <sz val="16"/>
            <color indexed="81"/>
            <rFont val="Tahoma"/>
            <family val="2"/>
          </rPr>
          <t xml:space="preserve">MJD:
</t>
        </r>
        <r>
          <rPr>
            <sz val="16"/>
            <color indexed="81"/>
            <rFont val="Tahoma"/>
            <family val="2"/>
          </rPr>
          <t>Remitirse a la pestaña Probabilidad Seguridad Informac</t>
        </r>
      </text>
    </comment>
    <comment ref="O6" authorId="1" shapeId="0" xr:uid="{00000000-0006-0000-0300-000003000000}">
      <text>
        <r>
          <rPr>
            <b/>
            <sz val="18"/>
            <color indexed="81"/>
            <rFont val="Tahoma"/>
            <family val="2"/>
          </rPr>
          <t>MJD:</t>
        </r>
        <r>
          <rPr>
            <sz val="18"/>
            <color indexed="81"/>
            <rFont val="Tahoma"/>
            <family val="2"/>
          </rPr>
          <t xml:space="preserve">
Remitirse a la Guía de Administración de Riesgos - G-MC-04 para la tabla de Impactos de Riesgos de Seguridad Digital</t>
        </r>
      </text>
    </comment>
    <comment ref="U6" authorId="0" shapeId="0" xr:uid="{00000000-0006-0000-0300-000004000000}">
      <text>
        <r>
          <rPr>
            <b/>
            <sz val="9"/>
            <color indexed="81"/>
            <rFont val="Tahoma"/>
            <family val="2"/>
          </rPr>
          <t>MJD:</t>
        </r>
        <r>
          <rPr>
            <sz val="9"/>
            <color indexed="81"/>
            <rFont val="Tahoma"/>
            <family val="2"/>
          </rPr>
          <t xml:space="preserve">
Para una CORRECTA descripción del Control, remitirse a la Hoja CONTROLES</t>
        </r>
      </text>
    </comment>
    <comment ref="BG6" authorId="1" shapeId="0" xr:uid="{00000000-0006-0000-0300-000005000000}">
      <text>
        <r>
          <rPr>
            <b/>
            <sz val="9"/>
            <color indexed="81"/>
            <rFont val="Tahoma"/>
            <family val="2"/>
          </rPr>
          <t xml:space="preserve">Ministerio de Justicia y del Derecho: </t>
        </r>
        <r>
          <rPr>
            <sz val="9"/>
            <color indexed="81"/>
            <rFont val="Tahoma"/>
            <family val="2"/>
          </rPr>
          <t>Revisar la pestaña de probabilidad de seg. De la información</t>
        </r>
        <r>
          <rPr>
            <sz val="9"/>
            <color indexed="81"/>
            <rFont val="Tahoma"/>
            <family val="2"/>
          </rPr>
          <t xml:space="preserve">
</t>
        </r>
      </text>
    </comment>
    <comment ref="BH6" authorId="1" shapeId="0" xr:uid="{00000000-0006-0000-0300-000006000000}">
      <text>
        <r>
          <rPr>
            <b/>
            <sz val="9"/>
            <color indexed="81"/>
            <rFont val="Tahoma"/>
            <family val="2"/>
          </rPr>
          <t>Ministerio de Justicia y del Derecho:</t>
        </r>
        <r>
          <rPr>
            <sz val="9"/>
            <color indexed="81"/>
            <rFont val="Tahoma"/>
            <family val="2"/>
          </rPr>
          <t xml:space="preserve">
Revisar Guía de  administración de riesgos del Ministerio de Justicia y del Derecho</t>
        </r>
      </text>
    </comment>
  </commentList>
</comments>
</file>

<file path=xl/sharedStrings.xml><?xml version="1.0" encoding="utf-8"?>
<sst xmlns="http://schemas.openxmlformats.org/spreadsheetml/2006/main" count="5669" uniqueCount="1832">
  <si>
    <t>Tipo de Proceso</t>
  </si>
  <si>
    <t>Procesos</t>
  </si>
  <si>
    <t>Objetivos</t>
  </si>
  <si>
    <t>Tipo_de_Riesgo</t>
  </si>
  <si>
    <t>Clase de Causa</t>
  </si>
  <si>
    <t>Probabilidad</t>
  </si>
  <si>
    <t>Impacto</t>
  </si>
  <si>
    <t>Opciones_de_Manejo</t>
  </si>
  <si>
    <t>Control_Existente</t>
  </si>
  <si>
    <t>Evaluación</t>
  </si>
  <si>
    <t>Medidas_de_Respuesta</t>
  </si>
  <si>
    <t>Solidez Controles</t>
  </si>
  <si>
    <t>Objetivos Estratégicos</t>
  </si>
  <si>
    <t>Estratégico</t>
  </si>
  <si>
    <t xml:space="preserve">Gestión del Conocimiento </t>
  </si>
  <si>
    <t>Riesgo Estratégico</t>
  </si>
  <si>
    <t>Interna</t>
  </si>
  <si>
    <t>Raro</t>
  </si>
  <si>
    <t>Insignificante</t>
  </si>
  <si>
    <t>Aceptar el Riesgo</t>
  </si>
  <si>
    <t>Preventivo</t>
  </si>
  <si>
    <t>Rara Vez</t>
  </si>
  <si>
    <t>Rara vezInsignificante</t>
  </si>
  <si>
    <t>Bajo</t>
  </si>
  <si>
    <t>Asumir el riesgo</t>
  </si>
  <si>
    <t>Fuerte</t>
  </si>
  <si>
    <r>
      <t>1. </t>
    </r>
    <r>
      <rPr>
        <sz val="11"/>
        <color rgb="FF212529"/>
        <rFont val="Arial"/>
        <family val="2"/>
      </rPr>
      <t>Fortalecer el sistema de justicia para que sea accesible, oportuno y cercano al ciudadano.</t>
    </r>
  </si>
  <si>
    <t>Gestión de la Información y las comunicaciones</t>
  </si>
  <si>
    <t>Proveer información oportuna, confiable, veraz y accesible a clientes internos y externos del Ministerio de Justicia y del Derecho.</t>
  </si>
  <si>
    <t>Riesgo Operativo</t>
  </si>
  <si>
    <t>Externa</t>
  </si>
  <si>
    <t>Improbable</t>
  </si>
  <si>
    <t>Menor</t>
  </si>
  <si>
    <t>Evitar el Riesgo</t>
  </si>
  <si>
    <t>Correctivo</t>
  </si>
  <si>
    <t>Rara vezMenor</t>
  </si>
  <si>
    <t>Moderado</t>
  </si>
  <si>
    <t xml:space="preserve"> Reducir el riesgo</t>
  </si>
  <si>
    <r>
      <t>2. </t>
    </r>
    <r>
      <rPr>
        <sz val="11"/>
        <color rgb="FF212529"/>
        <rFont val="Arial"/>
        <family val="2"/>
      </rPr>
      <t>Formular y coordinar la política pública en materia de justicia transicional, en el marco de la reconciliación nacional.</t>
    </r>
  </si>
  <si>
    <t>Gestión de la Relación con los Grupos de Interés</t>
  </si>
  <si>
    <t>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t>
  </si>
  <si>
    <t>Riesgo Financiero</t>
  </si>
  <si>
    <t>Moderada</t>
  </si>
  <si>
    <t>Compartir el Riesgo</t>
  </si>
  <si>
    <t>Posible</t>
  </si>
  <si>
    <t>Rara vezModerado</t>
  </si>
  <si>
    <t>Alto</t>
  </si>
  <si>
    <t>Reducir el riesgo</t>
  </si>
  <si>
    <t>Débil</t>
  </si>
  <si>
    <r>
      <t>3. </t>
    </r>
    <r>
      <rPr>
        <sz val="11"/>
        <color rgb="FF212529"/>
        <rFont val="Arial"/>
        <family val="2"/>
      </rPr>
      <t>Liderar la formulación, implementación y seguimiento de las políticas en materia criminal y penitenciaria</t>
    </r>
  </si>
  <si>
    <t>Mejora Integral de la Gestión Institucional</t>
  </si>
  <si>
    <t xml:space="preserve">Coordinar y administrar la implementación del Sistema Integrado de Gestión del Ministerio de Justicia y de Derecho, con el fin de 
asegurar su mejora contlnua, conveniencia, eficacia y eficiencia conforme con los estándares adoptados. </t>
  </si>
  <si>
    <t>Riesgo de Cumplimiento</t>
  </si>
  <si>
    <t>Probable</t>
  </si>
  <si>
    <t>Mayor</t>
  </si>
  <si>
    <t>Reducir el Riesgo</t>
  </si>
  <si>
    <t>Rara vezMayor</t>
  </si>
  <si>
    <t>Extremo</t>
  </si>
  <si>
    <t>Evitar el riesgo</t>
  </si>
  <si>
    <r>
      <t>4. </t>
    </r>
    <r>
      <rPr>
        <sz val="11"/>
        <color rgb="FF212529"/>
        <rFont val="Arial"/>
        <family val="2"/>
      </rPr>
      <t>Consolidar la política integral de drogas, su implementación y evaluación.</t>
    </r>
  </si>
  <si>
    <t>Direccionamiento y Planeación Institucional</t>
  </si>
  <si>
    <t xml:space="preserve">Orientar la gestion de la entidad y del sector para que las acciones se deriven de una planeación eficiente y articulada que optimice 
el uso de los recursos en el logro de los objetivos institucionales. </t>
  </si>
  <si>
    <t>Riesgo de Tecnología</t>
  </si>
  <si>
    <t>Casi seguro</t>
  </si>
  <si>
    <t>Catastrófico</t>
  </si>
  <si>
    <t>Rara vezCatastrófico</t>
  </si>
  <si>
    <r>
      <t>5. </t>
    </r>
    <r>
      <rPr>
        <sz val="11"/>
        <color rgb="FF212529"/>
        <rFont val="Arial"/>
        <family val="2"/>
      </rPr>
      <t>Afianzar una gestión institucional innovadora y ética, soportada en el desarrollo humano y la participación ciudadana.</t>
    </r>
  </si>
  <si>
    <t>Misional</t>
  </si>
  <si>
    <t>Gestión contra la Criminalidad y la Reincidencia</t>
  </si>
  <si>
    <t>Riesgo de Imagen</t>
  </si>
  <si>
    <t>ImprobableInsignificante</t>
  </si>
  <si>
    <t>Formulación y Seguimiento de las Políticas Públicas</t>
  </si>
  <si>
    <t>Formularlos criterios,parámetros o lineamientos generales elegidos para abordar las prioridades de la agenda pública en materia de justicia y del derecho y orientar las decisiones respecto a una necesidad o situación de interés público en las materias de competencia del sector de Justicia y del Derecho;hacer seguimiento a las acciones definidas para su implementación o desarrollo y efectuar los ajustes que se requieran.</t>
  </si>
  <si>
    <t>ImprobableMenor</t>
  </si>
  <si>
    <t>Formulación y Seguimiento de Proyectos Normativos</t>
  </si>
  <si>
    <t>Formular proyectos de actos normativos de acuerdo con las políticas que orientan el sector Justicia y del Derecho,que sirven de herramienta para cumplir con los objetivos del Ministerio en beneficio de la comunidad y partes interesadas de acuerdo con el ordenamiento jurídico vigente.</t>
  </si>
  <si>
    <t>ImprobableModerado</t>
  </si>
  <si>
    <t>Acceso a la Justicia</t>
  </si>
  <si>
    <t>ImprobableMayor</t>
  </si>
  <si>
    <t>Fortalecimiento del Principio de Seguridad Jurídica</t>
  </si>
  <si>
    <t>Fortalecer el Principio Constitucional de Seguridad Jurídica mediante la defensa del Ordenamiento Jurídico, la formulación de lineamientos o metodologías para desarrollar procesos de depuración del Ordenamiento Jurídico y la divulgación normativa a través de la administración funcional del sistema SUIN-JURISCOL.</t>
  </si>
  <si>
    <t>ImprobableCatastrófico</t>
  </si>
  <si>
    <t>Apoyo</t>
  </si>
  <si>
    <t>Gestión Administrativa</t>
  </si>
  <si>
    <t>Fijar los lineamientos, parámetros y actividades requeridas para garantizar la gestión de los servicios administrativos, logísticos y la administración de los bienes necesario para la operación del Ministerio de Justicia y del Derecho.</t>
  </si>
  <si>
    <t>PosibleInsignificante</t>
  </si>
  <si>
    <t>Gestión Financiera</t>
  </si>
  <si>
    <t>Establecer los procedimientos, las estancias y responsables para el reconocimiento, registro y revelación de todos los hechos, transacciones y operaciones financieras, sociales, económicas y ambientales en los que tome parte el Ministerio de Justicia y del Derecho, con el fin de brindar información confiable, relevante y comprensible para la toma de decisiones.</t>
  </si>
  <si>
    <t>PosibleMenor</t>
  </si>
  <si>
    <t>Gestión de las Tecnologías y la Información</t>
  </si>
  <si>
    <t>Optimizar la operación de los procesos del MJD, mediante la gestión efectiva de los recursos tecnológicos, con el fin de brindar una adecuada disponibilidad de los servicios informáticos que soportan la operación del Ministerio, aplicando las iniciativas estratégicas definidas en las arquitecturas de la organización de TI, información, aplicaciones y tecnológicas. </t>
  </si>
  <si>
    <t>PosibleModerado</t>
  </si>
  <si>
    <t>Gestión Contractual</t>
  </si>
  <si>
    <t>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t>
  </si>
  <si>
    <t>PosibleMayor</t>
  </si>
  <si>
    <t>Gestión Jurídica</t>
  </si>
  <si>
    <t>Apoyar a las diferentes dependencias de la Entidad y del Sector Justicia en el cumplimiento de su función administrativa, emitir conceptos jurídicos, defender y representar jurídicamente al Ministerio de Justicia y del Derecho</t>
  </si>
  <si>
    <t>PosibleCatastrófico</t>
  </si>
  <si>
    <t>Gestión Documental</t>
  </si>
  <si>
    <t>Orientar la realización de las actividades necesarias para garantizar el acceso, la administración y conservación de los documentos producidos y recibidos por la Entidad, en cumplimiento de las disposiciones emanadas por parte del Archivo General de la Nación “Jorge Palacios Preciado”.</t>
  </si>
  <si>
    <t>ProbableInsignificante</t>
  </si>
  <si>
    <t>Gestión del Talento Humano</t>
  </si>
  <si>
    <t>Contar con  personal idoneo y calificado para el ejercicio de las funciones de la entidad, así mismo fortelcer las competencias, habilidades, conocimientos y mejoramiento de la calidad de la vida laboral de los servidores públicos, cumpliendo con todas las disposiciones legales vigentes.</t>
  </si>
  <si>
    <t>ProbableMenor</t>
  </si>
  <si>
    <t>Seguimiento y Evaluación</t>
  </si>
  <si>
    <t>Evaluar y/o hacer seguimiento a la planeación, ejecución y control en la gestión de los procesos (SIG), programas, planes y proyectos del Ministerio de Justicia y del Derecho para el mejoramiento continuo de la gestión de la Entidad.</t>
  </si>
  <si>
    <t>ProbableModerado</t>
  </si>
  <si>
    <t>ProbableMayor</t>
  </si>
  <si>
    <t>ProbableCatastrófico</t>
  </si>
  <si>
    <t>Casi seguroInsignificante</t>
  </si>
  <si>
    <t>Casi seguroMenor</t>
  </si>
  <si>
    <t>Calificación de Impacto</t>
  </si>
  <si>
    <t>Evidencia</t>
  </si>
  <si>
    <t>Ejecución del Control</t>
  </si>
  <si>
    <t>Control</t>
  </si>
  <si>
    <t>Casi seguroModerado</t>
  </si>
  <si>
    <t>Si</t>
  </si>
  <si>
    <t>Completa</t>
  </si>
  <si>
    <t>Siempre</t>
  </si>
  <si>
    <t>Casi seguroMayor</t>
  </si>
  <si>
    <t>No</t>
  </si>
  <si>
    <t>Incompleta</t>
  </si>
  <si>
    <t>Algunas Veces</t>
  </si>
  <si>
    <t>Detectivo</t>
  </si>
  <si>
    <t>Casi seguroCatastrófico</t>
  </si>
  <si>
    <t>No existe</t>
  </si>
  <si>
    <t>No se ejecuta</t>
  </si>
  <si>
    <t>Detectivo/Correctivo</t>
  </si>
  <si>
    <t>Código: F-MC-G04-01
Versión: 5</t>
  </si>
  <si>
    <t>Herramienta de Riesgos de Gestión</t>
  </si>
  <si>
    <t>Vigencia</t>
  </si>
  <si>
    <t>IDENTIFICACIÓN DEL RIESGO</t>
  </si>
  <si>
    <t>ÁNALISIS DEL RIESGO</t>
  </si>
  <si>
    <t>EVALUACIÓN DEL RIESGO</t>
  </si>
  <si>
    <t>MEDIDAS DE RESPUESTA</t>
  </si>
  <si>
    <t>Riesgo Inherente</t>
  </si>
  <si>
    <t>CONTROLES</t>
  </si>
  <si>
    <t>Diseño del Control</t>
  </si>
  <si>
    <t>Solidez Individual de cada Control</t>
  </si>
  <si>
    <t>Solidez del Conjunto de Controles</t>
  </si>
  <si>
    <t>Riesgo Residual</t>
  </si>
  <si>
    <t>Seguimiento 1</t>
  </si>
  <si>
    <t>Seguimiento 2</t>
  </si>
  <si>
    <t>Seguimiento 3</t>
  </si>
  <si>
    <t>N°</t>
  </si>
  <si>
    <t>PROCESO</t>
  </si>
  <si>
    <t>OBJETIVO DEL PROCESO</t>
  </si>
  <si>
    <t xml:space="preserve"> RIESGO</t>
  </si>
  <si>
    <t>Tipo de Riesgo</t>
  </si>
  <si>
    <t>OBJETIVOS ESTRATÉGICOS RELACIONADOS</t>
  </si>
  <si>
    <t>CAUSA</t>
  </si>
  <si>
    <t>Clasificación de la Causa</t>
  </si>
  <si>
    <t>CONSECUENCIAS</t>
  </si>
  <si>
    <t>PROBABILIDAD</t>
  </si>
  <si>
    <t>IMPACTO</t>
  </si>
  <si>
    <t xml:space="preserve">EVALUACIÓN </t>
  </si>
  <si>
    <t>DESCRIPCIÓN DEL CONTROL</t>
  </si>
  <si>
    <t>Causa que ataca</t>
  </si>
  <si>
    <t>CLASE DE CONTROL EXISTENTE</t>
  </si>
  <si>
    <t>1. ¿Existe un responsable asignado de la ejecución?</t>
  </si>
  <si>
    <t>2. ¿El responsable tiene la autoridad y adecuada segregación de funciones en la ejecución del control?</t>
  </si>
  <si>
    <t>3. ¿La oportunidad en que se ejecuta el control ayuda a prevenir la mitigación del riesgo o a detectar la materialización del riesgo en manera oportuna?</t>
  </si>
  <si>
    <t>4. ¿Las actividades que desarrollan en el control realmente buscan por si sola prevenir o detectar las causas que puedan dar origen al riesgo, ejemplo: Verificar, Validar, Cotejar, Comparar, Revisar?</t>
  </si>
  <si>
    <t>5. ¿La fuente de Información que se utiliza en el desarrollo del control es información confiable que permita mitigar el riesgo?</t>
  </si>
  <si>
    <t>6. ¿Las observaciones, desviaciones o diferencias identificadas como resultados de la ejecución del control son investigadas y resueltas de manera oportuna?</t>
  </si>
  <si>
    <t>7. ¿Se deja evidencia o rastro de la ejecución del control, que permita cualquier tercero con la evidencia, llegar a la misma conclusión?</t>
  </si>
  <si>
    <t>Total Diseño de Control</t>
  </si>
  <si>
    <t>RANGO DE CALIFICACIÓN DEL DISEÑO</t>
  </si>
  <si>
    <t>NIVEL DE EJECUCIÓN DEL CONTROL</t>
  </si>
  <si>
    <t>RANGO DE CALIFICACIÓN DE LA EJECUCIÓN</t>
  </si>
  <si>
    <t>SOLIDEZ INDIVIDUAL DE CADA CONTROL</t>
  </si>
  <si>
    <t>Total Solidez Individual</t>
  </si>
  <si>
    <t xml:space="preserve">Promedio de los Controles de  Riesgo </t>
  </si>
  <si>
    <t xml:space="preserve">CALIFICACIÓN DE LA SOLIDEZ DEL CONJUNTO DE CONTROLES </t>
  </si>
  <si>
    <t>Casillas que mueve en Probabilidad</t>
  </si>
  <si>
    <t>Casillas que mueve en Impacto</t>
  </si>
  <si>
    <t>OPCIONES DE MANEJO</t>
  </si>
  <si>
    <t>1. Fortalecer el sistema de justicia para que sea accesible, oportuno y cercano al ciudadano.</t>
  </si>
  <si>
    <t>Demora en el proceso de revisión del acto administrativo</t>
  </si>
  <si>
    <t>Acción de tutela</t>
  </si>
  <si>
    <t>Demora en la notificación del acto administrativo al interno por parte de la oficina jurídica del centro penintenciario</t>
  </si>
  <si>
    <t>Habeas Corpus</t>
  </si>
  <si>
    <t>Requerimiento o intervención de un ente de control</t>
  </si>
  <si>
    <t xml:space="preserve">Errores por acción u omisión de la información en el registro en las cuentas de cobro
</t>
  </si>
  <si>
    <t>Inexistencia de un sistema que permita automatizar algunas tareas relacionadas con la liquidación</t>
  </si>
  <si>
    <t>Entrega tardía de la información por parte de las dependencias generadoras</t>
  </si>
  <si>
    <t>Entrega incompleta o inconsistente por parte de las dependencias generadoras</t>
  </si>
  <si>
    <t>La fuente no realiza la actualización periódica de los datos entregados para el reporte</t>
  </si>
  <si>
    <t>Pérdida de credibilidad</t>
  </si>
  <si>
    <t>5. Afianzar una gestión institucional innovadora y ética, soportada en el desarrollo humano y la participación ciudadana.</t>
  </si>
  <si>
    <t xml:space="preserve">Interpretación errónea de los datos entregados </t>
  </si>
  <si>
    <t>Quejas de los usuarios</t>
  </si>
  <si>
    <t>Demora en la entrega de información por parte de la fuente</t>
  </si>
  <si>
    <t xml:space="preserve">Decisiones erróneas </t>
  </si>
  <si>
    <t>La fuente realiza la entrega con errores de calidad en los datos a la Subdirección de Gestión de Información</t>
  </si>
  <si>
    <t>La Dirección de Métodos Alternativos de Solución de Conflictos, al menos una vez al año, para actualizar el conocimiento de los grupos de interés del Sistema de Información de la Conciliación, el Arbitraje y la amigable composición SICAAC en temas normativos y del manejo de la operación estadística, realiza un programa de entrenamiento al equipo OECED o a una muestra de grupos de interés involucrados en la operación estadística de la concilación en derecho. En caso de que al momento de realizar el entrenamiento se presente una ausencia mayor o igual a la cuarta parte, se realizará el proceso de divulgación de la información a todos los invitados al programa de entrenamiento. Evidencia: Asistencia al programa de entrenamiento
Envío de la información base del programa de entrenamiento</t>
  </si>
  <si>
    <t>Falencia en el proceso pre contractual de servicios y bienes tecnologicos</t>
  </si>
  <si>
    <t>Afectación de la imagen institucional</t>
  </si>
  <si>
    <r>
      <t xml:space="preserve">El profesional designado  cada vez que se va a realizar un contrato con un proveedor de bienes o servicios tecnologicos, a fin de evitar reprocesos  y/o declaratoria desierta en la fase contractual verifica que la documentación de la etapa pre contractual, cumpla con los requerimientos técnicos y financieros. Si en el momento de la revisión se detalla alguna inconsistencia o falla de información, se deberá replantear la documentación exigida de la etapa en cuestión, ya sea estudios previos, cotizaciones, entre otras, para luego volver a iniciar la fase. </t>
    </r>
    <r>
      <rPr>
        <b/>
        <sz val="11"/>
        <color theme="1"/>
        <rFont val="Abadi"/>
        <family val="2"/>
      </rPr>
      <t>Evidencia</t>
    </r>
    <r>
      <rPr>
        <sz val="11"/>
        <color theme="1"/>
        <rFont val="Abadi"/>
        <family val="2"/>
      </rPr>
      <t xml:space="preserve">: Documentación de la etapa pre- contractual en sus diferentes versionamientos, con el Visto bueno de parte del jefe inmediato. </t>
    </r>
  </si>
  <si>
    <t xml:space="preserve">Falta de mantenimento a los bienes y/o actualización de los servicios tecnologicos </t>
  </si>
  <si>
    <t>Multas y sanciones por incumplimiento a las normas vigentes</t>
  </si>
  <si>
    <r>
      <t>El profesional designado como supervisor  y los que hacen parte del equipo de trabajo encargados del control y seguimiento de los contratos de mantenimiento y/o actualización de los bienes o servicios tecnologicos, anualmente a fin de evitar fallas en la prestación del servicio, en el desempeño de los equipos y mantener la seguridad  informatica actualizada, programa y hace seguimiento a todos los mantenimientos de los bienes tecnologicos exceptuando los servicios e infraestructura contratados con terceros, asi como las condiciones en las cuales se deba surtir el proceso de actualización de los servicios. Si en el momento de hacer la programación se identifica un bien o servicio como infraestructura critica (interno), se debera estructurar un mantenimiento o actualizacion con mayor frecuencia a la establecida normalmente.</t>
    </r>
    <r>
      <rPr>
        <b/>
        <sz val="11"/>
        <color theme="1"/>
        <rFont val="Abadi"/>
        <family val="2"/>
      </rPr>
      <t xml:space="preserve"> Evidencia:</t>
    </r>
    <r>
      <rPr>
        <sz val="11"/>
        <color theme="1"/>
        <rFont val="Abadi"/>
        <family val="2"/>
      </rPr>
      <t xml:space="preserve"> Programación de los mantenimientos con las condiciones ( exceptuando servicios e infraestructura contratados con terceros)  e Informes de supervisión de los contratos relacionados. </t>
    </r>
  </si>
  <si>
    <t>Incumplimiento de las políticas de Uso de los Recursos Informáticos y de Seguridad de las Información</t>
  </si>
  <si>
    <t>Ataques ciberneticos  a los servicios tecnologicos del Ministerio</t>
  </si>
  <si>
    <t xml:space="preserve">Incumplimiento en los objetivos y/o misionalidad del Ministerio </t>
  </si>
  <si>
    <r>
      <t xml:space="preserve">La Dirección de Tecnologías cada vez que surja la necesidad de actualizar el plan de seguridad y privacidad de la información, a fin de evitar ataques ciberneticos a los servicios tecnologicos del Ministerio, ejecutara las actividades relacionadas con la actualización y seguira poniendo en práctica las vigentes (Ethical hacking e ingeniería social, Inteligencia de Amenazas, Seguridad Perimetral y Simulación de ataques cibernéticos). Cuando en el desarrollo del plan se encuentre alguna vulnerabilidad o amenaza, se procede a remediarla o a generar un control compensatorio. </t>
    </r>
    <r>
      <rPr>
        <b/>
        <sz val="11"/>
        <color theme="1"/>
        <rFont val="Abadi"/>
        <family val="2"/>
      </rPr>
      <t xml:space="preserve">Evidencia: </t>
    </r>
    <r>
      <rPr>
        <sz val="11"/>
        <color theme="1"/>
        <rFont val="Abadi"/>
        <family val="2"/>
      </rPr>
      <t xml:space="preserve">Resultado de los ejercicios de aplicación del plan
Versionamientos o actualizaciones del plan 
Instrumento de evaluación en MSPI (MINTIC) . </t>
    </r>
  </si>
  <si>
    <t>Fallas de los dispositivos</t>
  </si>
  <si>
    <t>Incumplimiento en los objetivos y/o misionalidad del Ministerio</t>
  </si>
  <si>
    <r>
      <t xml:space="preserve">2.La Dirección de Tecnologías cada vez que surja la necesidad de actualizar el plan de seguridad y privacidad de la información, a fin de evitar ataques ciberneticos a los servicios tecnologicos del Ministerio, ejecutara las actividades relacionadas con la actualización y seguira poniendo en práctica las vigentes (Ethical hacking e ingeniería social, Inteligencia de Amenazas, Seguridad Perimetral y Simulación de ataques cibernéticos). Cuando en el desarrollo del plan se encuentre alguna vulnerabilidad o amenaza, se procede a remediarla o a generar un control compensatorio. </t>
    </r>
    <r>
      <rPr>
        <b/>
        <sz val="11"/>
        <color theme="1"/>
        <rFont val="Abadi"/>
        <family val="2"/>
      </rPr>
      <t xml:space="preserve">Evidencia: </t>
    </r>
    <r>
      <rPr>
        <sz val="11"/>
        <color theme="1"/>
        <rFont val="Abadi"/>
        <family val="2"/>
      </rPr>
      <t xml:space="preserve">Resultado de los ejercicios de aplicación del plan
Versionamientos o actualizaciones del plan 
Instrumento de evaluación en MSPI (MINTIC) </t>
    </r>
  </si>
  <si>
    <t>Fallas en el software al momento de realizar las copias de respaldo</t>
  </si>
  <si>
    <r>
      <t>3.El profesional designado como supervisor  y los que hacen parte del equipo de trabajo encargados de hacer el seguimiento de los contratos de mantenimiento y/o actualización de los bienes o servicios tecnologicos, anualmente a fin de evitar fallas en la prestación del servicio, en el desempeño de los equipos y mantener la seguridad  informatica actualizada; programa y hace seguimiento a todos los mantenimientos de los bienes tecnologicos exceptuando los servicios e infraestructura contratados con terceros, asi como las condiciones en las cuales se deba surtir el proceso de actualización de los servicios. Si en el momento de hacer la programación se identifica un bien o servicio como infraestructura critica (interno), se debera estructurar un mantenimiento o actualizacion con mayor frecuencia a la establecida normalmente.</t>
    </r>
    <r>
      <rPr>
        <b/>
        <sz val="11"/>
        <color theme="1"/>
        <rFont val="Abadi"/>
        <family val="2"/>
      </rPr>
      <t xml:space="preserve"> Evidencia:</t>
    </r>
    <r>
      <rPr>
        <sz val="11"/>
        <color theme="1"/>
        <rFont val="Abadi"/>
        <family val="2"/>
      </rPr>
      <t xml:space="preserve"> Programación de los mantenimientos con las condiciones ( exceptuando servicios e infraestructura contratados con terceros)  e Informes de supervisión de los contratos relacionados. </t>
    </r>
  </si>
  <si>
    <t>Desconocimiento en el uso de las herramientas tecnológicas - Errores humanos</t>
  </si>
  <si>
    <t>Requerimientos por parte de entes de control</t>
  </si>
  <si>
    <t>Entrega incompleta o a destiempo de información oficial a partes interesadas</t>
  </si>
  <si>
    <t xml:space="preserve">
Aplicación inadecuada o desconocimiento de la normatividad archivística 
</t>
  </si>
  <si>
    <t>Traumatismos en la prestación del servicio del GGD</t>
  </si>
  <si>
    <t xml:space="preserve">El Grupo de Gestión Documental realizará mínimo tres (3)  capacitación al año a los funcionarios, Para ampliar los conocimientos en archivo, aplicar los procesos de desarrollo de la función archivística y la gestión documental a través de las herramientas tecnológicas disponibles, Si a la segunda convocatoria el invitado no asiste el coordinador de GGD enviará un reporte al jefe directo con copia a la OCI, Si al final del año alguna dependencia no asistió se llevara como punto en la agenda en el comité de desempeño                                                              para el fortalecimiento de competencias en materia archivística.
Evidencia: Registro de asistencia  </t>
  </si>
  <si>
    <t>Inadecuados  controles de acceso  de documentos</t>
  </si>
  <si>
    <t xml:space="preserve">
Perdida del patrimonio documental 
</t>
  </si>
  <si>
    <t>El GGD, cada vez que exista cambio de personal que tuviese acceso al archivo de gestión remitirá un correo electrónico al Grupo de Gestión Administrativa al supervisor del contrato de vigilancia con los datos de las personas autorizadas para ingresar, adicional se realizará un registro en el formato establecido, que permita evidenciar quienes tuvieron acceso al archivo de gestión. cuando ocurra el ingreso de personal no autorizado, se debe reportar mediante correo electrónico de forma inmediata al GGA, SG y la OCI para tomar las medidas correspondientes. 
Evidencia: Correo electrónico  y Formato establecido.</t>
  </si>
  <si>
    <t>Falta de Implementación del sistema Integrado de Conservación Documental e Infraestructura inadecuada para la correcto almacenamiento de los soportes Documentales.</t>
  </si>
  <si>
    <t xml:space="preserve">Deterioro de los documentos </t>
  </si>
  <si>
    <t>El profesional del Grupo de Gestión Documental realizara actividades periódicas durante todo el año para garantizar la adecuada conservación de los soportes y medios, así como de los espacios de almacenamiento y custodia de los documentosverificando que la infraestructura cuente con espacios óptimos y  salvaguardar los documentos y  desarrollaando las actividades específicas, descritas en las planes de Conservación y Preservación Documental, La no implementación del SIC a largo plazo puede ocasionar perdida de la información contenida en los diferentes soportes de la entidad.
Evidencia: Formatos asistencia a las capacitaciones de temas del SIC. (F-THDE-02-04)
 Formato de inspección de sistemas de almacenamiento e instalaciones físicas. (F-GD-G01-13) y Formato Monitoreo y Control F-GD-G01-16
Formato Control Factores Biológicos F-GD-G01-15</t>
  </si>
  <si>
    <t xml:space="preserve">
No cumplimiento del cronograma de Transferencia Documental Primarias
</t>
  </si>
  <si>
    <t>Acumulación de archivo en las oficinas productoras</t>
  </si>
  <si>
    <t>El líder del Proceso de Transferencias Documentales Anualmente Con el fin de la liberar espacios en cada dependencia y ayudar en la correcta administración de los expedientes, 
Elabora y socializa el cronograma de trasferencias con las dependencias, La dependencia deberá elaborar un Memorando solicitando prórroga para la entrega de la transferencia la cual será aprobada por el GGD, en caso de que no se cumpla el GGD  debe remitir un memorando a la dependencia con copia a la OCI  para que se justifique la no realización de la Transferencia y el incumplimiento para reporte de Indicadores de Gestión., El líder del proceso de las transferencias documentales previo a la fecha de entrega se comunicará con la dependencia para brindar asistencia técnica si se requiere. 
Evidencias: formato único de inventario documental FUID y acta de entrega y memorando si se requiere, Listados de Asistencia</t>
  </si>
  <si>
    <t>Direccionamiento erroneo de las comunicaones por la falta de actualización en las tipoligias documentales por las dependencias del MJD</t>
  </si>
  <si>
    <t>Atraso en tiempos  de respuestas por las dependencias</t>
  </si>
  <si>
    <t>El Grupo de Gestión Documental Cada año, a fin de generar una adecuada distribución de correspondencia al interior de la entidad, Programara una serie de Capacitaciones con cada dependencia sobre las tipologías documentales de su competencia ,En caso de que las personas  citadas a la capacitación  no asistiesen a estas el Coordinador GGD debe realizar la solicitud a la dependencia en donde se presentó inasistencia mediante Memorando informando la fecha y hora  de la nueva capacitación  haciendo énfasis en una posible obligatoriedad. Evidencia: Evidencia: Registro de asistencia Memorando y programación de Capacitaciones</t>
  </si>
  <si>
    <t>Falta de seguimiento adecuado y control en la recepción y distribución de las comunicaciones.</t>
  </si>
  <si>
    <t>Las comunicaciones no llegan tiempo a su destinatario, y presentan falencias en la captura de información.</t>
  </si>
  <si>
    <t>El Grupo de Gestión Documental, diariamente genera un informe en 3 cortes 10:30, 14:30, 17:30 determina los puntos  frágiles del proceso,  de acuerdo a los distintos puntos de acción,detallando de manera cuantitativa la calidad del proceso , con el fin de conocer y diagnosticar la labor del personal del mesa de entrada, Por lo que  realiza un muestreo de  un 45% de la radicación diaria, automatizando la distribución y permitiendo la validación en tiempo real, logrando determinar alertas tempranas, mediante un sistema desarrollado en VBA y con gestor de bases de datos de ACCESS y Power bi,  para que de esta manera la coordinación GGD,  y demás actores del proceso, puedan ver datos estadisticos generales y especificos de la operación, se tiene acceso desde cualquier medio electrónico (Celular, PC) realizando alimentaciones en línea y acciones que mitigan las posibles falencias con las personas que presenten alguna devilidad  Evidencia: Informe Power bi</t>
  </si>
  <si>
    <t>A.  Falta de conocimiento por parte de servidores y contratistas para el correcto manejo del Sistema de Gestión Documental que soporta la gestión de las PQRSD</t>
  </si>
  <si>
    <t>Investigaciones Disciplinarias</t>
  </si>
  <si>
    <t>El Grupo de Gestión Documental al menos una vez al año a fin de fortalecer el conocimiento sobre el  manejo de la herramienta para el tramité de PQRSD, realizará una capacitación sobre el uso adecuado del Sistema de Gestión Documental, según los lineamientos del Manual de Archivo y Correspondencia de la Entidad, a servidores y contratistas de las diferentes dependencias, En caso de que las personas  citadas a la capacitación  no asistiesen a estas el Coordinador del GGD debe realizar la solicitud a la dependencia en donde se presentó inasistencia mediante Memorando informando la fecha y hora  de la nueva capacitación haciendo énfasis en una posible obligatoriedad. Evidencia: Registro de asistencia Memorando y programación de Capacitaciones</t>
  </si>
  <si>
    <t xml:space="preserve">B. Incorrecto reparto de las PQRSD a las dependencias a través del Sistema de Gestión Documental.
</t>
  </si>
  <si>
    <t>Demandas contra la entidad</t>
  </si>
  <si>
    <r>
      <t xml:space="preserve">El Grupo de Gestión Documental Cada año, a fin de generar una adecuada distribución de correspondencia al interior de la entidad, Programara una serie de Capacitaciones con cada dependencia sobre las tipologías documentales de su competencia ,En caso de que las personas  citadas a la capacitación  no asistiesen a estas el Coordinador GGD debe realizar la solicitud a la dependencia en donde se presentó inasistencia mediante Memorando informando la fecha y hora  de la nueva capacitación  haciendo énfasis en una posible obligatoriedad. </t>
    </r>
    <r>
      <rPr>
        <b/>
        <sz val="11"/>
        <color theme="1"/>
        <rFont val="Abadi"/>
        <family val="2"/>
      </rPr>
      <t>Evidencia</t>
    </r>
    <r>
      <rPr>
        <sz val="11"/>
        <color theme="1"/>
        <rFont val="Abadi"/>
        <family val="2"/>
      </rPr>
      <t>: Registro de asistencia Memorando y programación de Capacitaciones</t>
    </r>
  </si>
  <si>
    <t>C. Inadecuado seguimiento a la respuesta de las PQRSD dentro de las dependencias, en su rol de primera línea de defensa.</t>
  </si>
  <si>
    <t>Pérdida de credibilidad institucional.</t>
  </si>
  <si>
    <t>Los enlaces de PQRSD de las dependencias una vez al mes, para generar alertas tempranas respecto al cumplimiento de los términos de las PQRSD, realizarán seguimientos internos a la gestión de estas, de acuerdo con las directrices del Grupo de  Servicio al Ciudadano En caso de que el enlace de PQRSD no realice el seguimiento, el GSC procedera a hacer un requerimiento al líder de la dependencia para que este de cumplimiento a la tarea asignada. Si al momento de realizar el seguimiento, el enlace detalla PQRSD próximas a vencerse, de forma inmediata informará a la persona responsable en EPX de esta situación para evitar su vencimiento Evidencia: Correos electronicos de seguimiento de los enlaces, Requerimiento al líder de la dependencia y correo del enlace al responsable con las alertas de próximos vencimientos</t>
  </si>
  <si>
    <t>C. Inadecuado seguimiento a la respuesta de las PQRD dentro de las dependencias, en su rol de primera línea de defensa.</t>
  </si>
  <si>
    <t>D. Falta de autocontrol de los colaboradores (servidores y contratistas) del Ministerio  para dar respuesta a las PQRSD recibidas de manera oportuna</t>
  </si>
  <si>
    <t>Vulneración de los derechos fundamentales de petición y de acceso a la información que tienen los ciudadanos.</t>
  </si>
  <si>
    <t>D. Falta de autocontrol de los colaboradores (servidores y contratistas) del Ministerio  para dar respuesta a las PQRD recibidas de manera oportuna</t>
  </si>
  <si>
    <t>E. Indebido seguimiento y control en la atención de PQRD por parte del GSC</t>
  </si>
  <si>
    <t>Incumplimiento de funciones del grupo establecidas en la Resolución 685 de 2017.</t>
  </si>
  <si>
    <t>El Grupo de Servicio al Ciudadano trimestralmente para realizar control y seguimiento del estado  de PQRSD realizara un informe sobre estas, el cual publicará en la página WEB y se llevará al Comité Institucional de Gestión y Desempeño En caso de que se identifiquen Incumplimiento en términos de respuesta se realizará el envío de un reporte a la OCID y así mismo se realizará una divulgación con las diferentes dependencias sobre los resultados del informe.
 Evidencia:  Informe del estado de las PQRSD, correo electrónico enviado a la OCID, Acta de Comité, correo electrónico con el informe enviado a las diferentes dependencias objeto de análisis Se encuentra contenido en Gestión de requerimientos de grupos de interés</t>
  </si>
  <si>
    <t>Fallas en la supervisión de los términos</t>
  </si>
  <si>
    <t>Deterioro de la imagen institucional</t>
  </si>
  <si>
    <t>Olvido por parte del funcionario designado</t>
  </si>
  <si>
    <t>Investigación de carácter disciplinarios para el funcionario</t>
  </si>
  <si>
    <t>Que el seguimiento no se haga de forma oportuna</t>
  </si>
  <si>
    <t>Que el seguimiento no refleje la realidad</t>
  </si>
  <si>
    <t>No se fortalece el principio de seguridad jurídica del país</t>
  </si>
  <si>
    <t xml:space="preserve"> Fallas en la herramienta tecnológica que afecten el correcto funcionamiento del sistema</t>
  </si>
  <si>
    <t>Incumplimiento del cargue por parte del funcionario designado</t>
  </si>
  <si>
    <t>si</t>
  </si>
  <si>
    <t>Desconocimiento de los procesos y procedimientos por parte de los auditores</t>
  </si>
  <si>
    <t xml:space="preserve">El jefe de la OCI, anualmente realizará sesión de capacitación  a todos los integrantes del equipo auditor con el fin de reforzar los conocimientos de procesos y procedimiento. En caso de que uno de los integrantes del equipo no pueda asistir, la capacitacion sera reprogramada dentro del mismo mes de programación. Evidencia: Control de asistencia firmado por cada uno de los asistentes y los temas tratados y conclusion de la reunion.                                                                                                                                                              </t>
  </si>
  <si>
    <t>Análisis incompleto de la información realizada por parte del auditor</t>
  </si>
  <si>
    <t>Análisis incompleto de la información realizado por parte del auditor</t>
  </si>
  <si>
    <t>Falta de colaboración por parte del proceso que se va auditar para la ejecución de la auditoría.</t>
  </si>
  <si>
    <t>Situaciones fortuitas o atención de situaciones no previstas</t>
  </si>
  <si>
    <t>El jefe de la OCI presentará anualmente al CICCI - para su aprobación- el documento metodológico que contiene los lineamientos para el establecimiento del Plan Anual de Auditoría. Incorporando componentes como: introducción, objetivo, alcance, fuentes de criterios, conocimiento de la entidad, alienación con la planeación estratégica, determinación del universo de auditoría y del plan de auditoria, en caso de que algunos de los elementos que constituyen el documento metologico falte o se tenga que actualizar este será presentado nuevamente al CICCI para la aprobación del ajuste al plan anual Evidencia: Acta de aprobación del plan anual.</t>
  </si>
  <si>
    <t>Requerimientos internos no previstos</t>
  </si>
  <si>
    <t>Inadecuada planeación del trabajo de auditoría.</t>
  </si>
  <si>
    <t>Desconocimiento de la metodología de formulación de políticas públicas</t>
  </si>
  <si>
    <t>Hallazgo por parte de Entes de Control</t>
  </si>
  <si>
    <t>El funcionario o contratista designado por cada viceministerio, al menos dos veces al año, a fin de fortalecer el conocimiento en la metodología vigente para la formulación de política pública, realiza capacitación y divulgación de la misma a los funcionarios encargados de formular política pública. Si al momento de realizar la capacitación, el personal asistente es menor a la tercera parte, se deberá reprogramar la capacitación o realizar un proceso de divulgación de la metodología a los no asistentes para de esta forma lograr la cobertura total de las personas involucradas en este proceso Evidencia: 
Asistencia a capacitación
Metodología divulgada 
Diligenciamiento del plan de Formulación de Políticas Públicas</t>
  </si>
  <si>
    <t>Desconocimiento de la metodología</t>
  </si>
  <si>
    <t>2. Formular y coordinar la política pública en materia de justicia transicional, en el marco de la reconciliación nacional.</t>
  </si>
  <si>
    <t xml:space="preserve">Tiempos limitados o insuficientes </t>
  </si>
  <si>
    <t>Incumplimiento de la misionalidad de la entidad</t>
  </si>
  <si>
    <t>Los viceministros en coordinación con los directores, cada vez que se vaya a formular política pública, a fin de controlar los tiempos y poder actuar frente a situaciones que impidan el oportuno desarrollo de las actividades, establece un cronograma con fechas y responsables para cada una de las etapas del proceso de formulación de política. Si en el transcurso de las labores se presenta algún factor externo o interno que impida el oportuno cumplimiento de los tiempos previamente establecidos se procederá a modificar el cronograma a fin de poder adelantar las actividades en los tiempos requeridos y que impidan el incumplimiento de las actividades de la metodología de formulación. Evidencia: 
Cronograma de actividades
Modificaciones al cronograma con sus respectivas justificaciones</t>
  </si>
  <si>
    <t>3. Liderar la formulación, implementación y seguimiento de las políticas en materia criminal y penitenciaria</t>
  </si>
  <si>
    <t>Falta de competencias específicas en las temáticas para la formulación de política pública.</t>
  </si>
  <si>
    <t>Pérdida de imagen institucional</t>
  </si>
  <si>
    <t>4. Consolidar la política integral de drogas, su implementación y evaluación.</t>
  </si>
  <si>
    <t>Fallas en la entrega de la documentación para la suscripción del contrato</t>
  </si>
  <si>
    <t xml:space="preserve">No se puedan prestar a tiempo los servicios requeridos para la Entidad. </t>
  </si>
  <si>
    <t>El enlace de contratación de cada dependencia cada vez que se va a efectuar la suscripción de un contrato verifica que la información suministrada por el contratista corresponda con los requisitos establecidos,  a través de una lista de chequeo la cual debera consultar en el SIG,  donde están los documentos requeridos y la revisión con la información física suministrada por el contratista. En caso de encontrar documentación faltante, requiere al contratista a través de correo electronico el suministro de la documentación faltante o incompleta para poder continuar con el proceso de contratación, en un plazo prudente de tal forma que no se retrase el proceso de suscripción. Evidencia: la lista de chequeo diligenciada, la información de la carpeta del contraista y los correos a que hubo lugar en donde solicitó la información faltante o incompleta (en los casos que aplique).</t>
  </si>
  <si>
    <t>Incumplimientos técnicos , legales y/o financieros en la elaboración de estudios previos y documentos soporte.</t>
  </si>
  <si>
    <t>Requerimientos de los entes de control</t>
  </si>
  <si>
    <t>El profesional encargado de adelantar la contratación, cada vez que se va a efectuar la suscripción de un contrato, verifica que la información radicada por parte de cada dependencia corresponda con los requisitos establecidos,  a través de una lista de chequeo la cual debera consultar en el SIG,  donde están los documentos requeridos y la revisión con la información física suministrada por el contratista. En caso de encontrar documentación faltante, requiere al enlace a través de correo electronico el suministro de la documentación faltante o incompleta para poder continuar con el proceso de contratación, en un plazo prudente de tal forma que no se retrase el proceso de suscripción. Evidencia: la lista de chequeo diligenciada, la información de la carpeta del contratista y los correos a que hubo lugar en donde solicitó la información faltante o incompleta (en los casos que aplique).</t>
  </si>
  <si>
    <t>Debilidad en el proceso de seguimiento a la ejecución de los contratos</t>
  </si>
  <si>
    <t>Afectación presupuestal al Plan Anual Mensualizado de Caja - PAC</t>
  </si>
  <si>
    <t>El profesional en derecho del grupo de gestión contractual, cada vez que se va a efectuar la suscripción de un contrato, a fin de verificar que el proceso pre contractual cumpla con los requisitos técnicos, legales y financieros, revisa los estudios previos y los documentos soporte de la contratación. En caso de encontrar inconsistencias o información faltante y si el hecho es subsanable se solicita la modificación o complemento a la dependencia responsable en un plazo prudente de tal forma que no se retrase el proceso de suscripción. Si por otro lado la situación no es subsanable, se hace devolución de la documentación completa junto a un memorando donde se explican las razones de esta decisión y se solicita la modificación de la documentación existente. Evidencia: 
Ajustes solicitados a la dependencia (en los casos que aplique)
Correos electrónicos de las dependencias con los respectivos ajustes
Devolución de la documentación con el memorando (en los casos que aplique)</t>
  </si>
  <si>
    <t>Incumplimiento de la ejecución presupuestal del Ministerio</t>
  </si>
  <si>
    <t>Uso de lenguaje técnico que impida su entendimiento por el público en general</t>
  </si>
  <si>
    <t>Pérdida de credibilidad de la entidad</t>
  </si>
  <si>
    <t>El periodista a cargo de la respectiva publicación, cada vez que se va a publicar un documento o información técnica, a fin de aclarar la temática, revisar la terminología utilizada y evitar imprecisiones en la información a divulgar, solicita asesoría con la fuente primaria de la información o documentación. En caso de evidenciar algún término de díficil comprensión, o que la lectura de la información o documentación es confusa se procederá a realizar una modificación sin perder el sentido lógico ni de fondo de la misma. Estas modificaciones serán aprobadas por la fuente primaria de la información previo a su publicación o divulgación. Evidencia: Documentación o información en sus diferentes versiones
Documentación o información publicada</t>
  </si>
  <si>
    <t xml:space="preserve">Se reciba de manera tardía la información oficial para publicación </t>
  </si>
  <si>
    <t>Quejas por parte de los usuarios</t>
  </si>
  <si>
    <t>El grupo de profesionales de la Oficina de Prensa y Comunicaciones, diariamente, para producir y difundir la información de manera oportuna deberá consultar sus fuentes asignadas. Las fuentes asignadas pueden remitirse en cualquier momento para producir y solicitar la divulgación de información al grupo de profesionales de la Oficina de Prensa y Comunicaciones, sin perjuicio de la consulta diaria por parte de este último. Evidencia: Consulta por parte del grupo profesionales de la Oficina de Prensa y Comunicaciones
Solicitud de produción o divulgación por parte de la fuente</t>
  </si>
  <si>
    <t>Desconocimiento del manual de comunicaciones por parte del personal de la Oficina de Prensa y Comunicaciones</t>
  </si>
  <si>
    <t>Aumento de Peticiones o solicitudes de información por falta de claridad en las publicaciones</t>
  </si>
  <si>
    <t xml:space="preserve">El profesional designado de la Oficina de Prensa y Comunicaciones, minimo dos veces al año, a fin de fortalecer el conocimiento sobre el Manual de comunicaciones y resolver dudas o evitar confusiones en su interpretación, socializará este al equipo de trabajo de la Oficina. Cuando en el proceso de socialización no asista una tercera parte del equipo de trabajo, se deberá programar una segunda fecha para los no asistentes, a fin de dar cobertura a la totalidad del equipo. Evidencia: Asistencia a la socialización
Programación de las capacitaciones según el caso </t>
  </si>
  <si>
    <t>Desconocimiento del ordenamiento jurídico para la producción de los proyectos de actos normativos.</t>
  </si>
  <si>
    <t xml:space="preserve">Reproceso </t>
  </si>
  <si>
    <t>El funcionario o contratista designado por cada director, al menos una vez al año, a fin de fortalecer el conocimiento en el ordenamiento jurídico vigente para la producción de proyectos de actos normativos , realiza capacitación y divulgación de las mismas a los funcionarios encargados de llevar a cabo este proceso. Si al momento de realizar la capacitación, el personal asistente es menor a la tercera parte, se deberá reprogramar la capacitación o realizar un proceso de divulgación del ordenamiento jurídico vigente a los no asistentes para de esta forma lograr la cobertura total de las personas involucradas en este proceso. De ser posible, esta capacitación y divulgación se realizará en conjunto entre direcciones. Evidencia: 
Asistencia a capacitación
Ordenamiento Jurídico divulgado</t>
  </si>
  <si>
    <t>Deficiencias en el proceso de revisión previa de los proyectos de actos normativos.</t>
  </si>
  <si>
    <t>Suspensión, nulidad, incosntitucionalidad, constitucionalidad condicionada, contra los actos normativos</t>
  </si>
  <si>
    <t>El grupo de actuaciones administrativas, cada vez que reciba por parte de las Direcciones proyectos normativos que requieran la firma del despacho del ministro o de la presidencia de la República, verifica los requisitos previamente establecidos y revisa la viabilidad jurídica, y se registran en el formato de actuaciones administrativas, En caso de no cumplir con los requisitos o cuando se tenga alguna observación que deba ser subsanada, se devuelve el proyecto de acto normativo a la dependencia que lo proyecte para que esta realice las modificaciones del caso. Evidencia:Formato de Registro de actuaciones administrativas
Correos electronicos de la radicación, devolución del proyecto en el caso que sea necesario.
Memorandos remisorios</t>
  </si>
  <si>
    <t>Daño antijurídico</t>
  </si>
  <si>
    <t xml:space="preserve">La DDDOJ cada vez que se solicite concepto de constitucionalidad, a fin de evitar posibles vicios de inconstitucionalidad del proyecto normativo, revisa que el proyecto se ajuste a los parametros de la Constitución Política y emite el concepto de acuerdo a los resultados de esta revisión. En caso de encontrar algún vicio, se devuelve el proyecto normativo con su respectivo concepto desfavorable, donde se hace mención expresa a las situaciones observadas, para las correcciones del caso. Evidencia:Concepto de constitucionalidad
Memorandos remisorios </t>
  </si>
  <si>
    <t>Dificultad de recopilación de la información y documentación necesaria para proyectar las respuestas</t>
  </si>
  <si>
    <t>Reclamaciones o quejas de los usuarios</t>
  </si>
  <si>
    <t>El profesional designado, diariamente, con el fin de verificar los términos de respuesta y generar las alertas de seguimiento y  asimismo, verificar la competencia del Grupo de Actuaciones Administrativas, para dar trámite a la solicitud y el término legal para hacerlo, cuando proceda, registra en las matrices diseñadas los requerimientos recibidos por parte de las diferentes dependencias. Si al momento de realizar la verificación determina que los requerimientos son competencia de otra dependencia interna, se realiza la respectiva reasignación de los requerimientos. Evidencia: 
Matriz de consultas del Consejo de Estado
Matriz de actuaciones administrativas
Matriz de solicitudes generales (Conceptos Jurídicos)
Reasignación de los requerimientos cuanda haya lugar</t>
  </si>
  <si>
    <t>C. Inadecuado seguimiento a la respuesta de los requerimientos jurídicos dentro de las dependencias, en su rol de primera línea de defensa.</t>
  </si>
  <si>
    <t xml:space="preserve">B. Incorrecto reparto de los requerimientos jurídicos a las dependencias a través del Sistema de Gestión Documental.
</t>
  </si>
  <si>
    <t xml:space="preserve">El Coordinador del Grupo de Actuaciones Administrativas  semanalmente, con el fin de verificar los términos de respuesta y generar las alertas de vencimiento, realiza seguimiento a las matrices diseñadas para tal fin. Si al momento de realizar el seguimiento identifica alguna inconsistencia o un requerimiento próximo a vencerse, genera las alertas inmediatas para que se priorice la respuesta de estos. Evidencia: 
Matriz de consultas del Consejo de Estado
Matriz de actuaciones administrativas
Matriz de solicitudes generales (Conceptos Jurídicos)
Alertas que genera el Coordinador de GAA a través de correo electronico
</t>
  </si>
  <si>
    <t>Investigaciones penales o disciplinarias</t>
  </si>
  <si>
    <t>El funcionario encargado cada que se presente un requerimiento, a fin de determinar si se necesita o no documentacion o informacion adicional, revisa el requerimiento jurídico cumpliendo con los procedimientos establecidos. Si al momento de realizar la revisión determina la necesidad de contar con documentación o información adicional, prioriza la obtención de estos elementos, si además luego de la revisión concluye que no es posible resolver la petición dentro del termino legal vigente se debe informar esta circunstancia al peticionario, antes del vencimiento de los términos expresando los motivos de la demora y señalando a la vez el plazo en que se dará respuesta. Evidencia: 
Solicitud de información o documentación a las dependencias o entidades 
Respuesta justificando las razones de demora al peticionario</t>
  </si>
  <si>
    <t>Demora en la entrega de información por parte de las áreas</t>
  </si>
  <si>
    <t>Los funcionarios designados del Grupo de Actuaciones administrativas cuando se requiera, a fin de fortalecer la adecuada distribución de correspondencia al interior del Ministerio, capacitarán al grupo de gestión Documental (mesa de entrada) y al Grupo de Servicio al Ciudadano sobre los temas de competencia del GAA. Si al momento de realizar la capacitación se presentase ausencia mayoritaria de algun grupo, se deberá emitir un lineamiento general sobre términos y competencias los cuales han sido tratados en el ejercicio de la capacitación, el cual se remitira a los no asistentes. Evidencia: 
Asistencia de capacitaciones
Lineamiento general remitido a traves de correo electronico a los no asistentes</t>
  </si>
  <si>
    <t>Falta de envío oportuno y con calidad del título ejecutivo, por parte de las áreas generadoras</t>
  </si>
  <si>
    <t>Pérdida de oportunidad en el recaudo de los recursos a favor de la Nación</t>
  </si>
  <si>
    <t xml:space="preserve">El coordinador del Grupo de Actuaciones Administrativas al menos una vez al mes, para identificar las actuaciones e impulsos de la gestión de cobro de cada obligación, realiza seguimiento a las obligaciones recibidas y en gestión de cobro. Si al momento de la revisión, se identifica inactividad procesal, se remitirá solicitud o correo electrónico o memorando para la priorización de estos procesos al abogado encargado. Evidencia: 
Matriz de Cobro Coactivo donde se incluye la revisión
Actas de reuniones de seguimiento
Correos, comunicaciones o memorandos solicitando la priorización del proceso cuando haya lugar.
</t>
  </si>
  <si>
    <t>Inactividad procesal dentro de las actuaciones administrativas de gestión de cobro.</t>
  </si>
  <si>
    <t>Incumplimiento en las metas y objetivos de la Dirección Jurídica</t>
  </si>
  <si>
    <t xml:space="preserve">El coordinador del Grupo de Actuaciones Administrativas mensualmente, para identificar las actuaciones e impulsos desarrollados, frente a la gestión de cobro de cada obligación, realiza el cruce entre las obligaciones remitidas por las areas emisoras del título vs el reporte de obligaciones registrado en las matrices de seguimiento de los procesos. Si al momento del cruce, identifica alguna situación que pueda llevar a la prescripción de la acción de cobro o a la pérdida de ejecutoriedad del acto administrativo, identifica los títulos que no han sido enviados a gestión de cobro y los prioriza para adelantar el cobro correspondiente. Evidencia: 
Matriz de Cobro Coactivo
Correos de remisión de información
Devolución del título al abogado para la gestión correspondiente
</t>
  </si>
  <si>
    <t>Falta de seguimiento a los procesos de cobro coactivo</t>
  </si>
  <si>
    <t>Sanciones de los organos de control al Ministerio</t>
  </si>
  <si>
    <t>Fallas en el seguimiento al cargue y registro en el sistema E-kogui de la calificación de los riesgos procesales.</t>
  </si>
  <si>
    <t>Afectación de la ejecución presupuestal</t>
  </si>
  <si>
    <t xml:space="preserve">El coordinador del Grupo de Defensa Jurídica, al menos dos veces al semesre, a fin de confrontar la información del E-kogui vs la consignada en el formato de consolidación procesal, realiza seguimiento a las calificaciones de los riesgos procesales,  Si al momento del seguimiento identifica diferencias entre la información registrada en E-kogui vs la consignada en el registro de consolidación procesal, procederá a solicitar al abogado encargado la actualización y verificación de esta información, tanto en E-kogui como en el formato. Evidencia: 
Formato de consolidación procesal
Comunicación con la comparación realizada
Solicitud de actualización y verificación, cuando sea el caso
</t>
  </si>
  <si>
    <t>Desactualización del estado del proceso por parte de los apoderados en los formatos establecidos y en E-kogui.</t>
  </si>
  <si>
    <t>Requerimientos por parte de los entes de control</t>
  </si>
  <si>
    <t xml:space="preserve">El coordinador del Grupo de Defensa Jurídica, al menos dos veces al semesre, a fin de confrontar la información del E-kogui vs la consignada en el formato de consolidación procesal, realiza seguimiento a las calificaciones de los riesgos procesales,  Si al momento del seguimiento identifica diferencias entre la información registrada en E-kogui vs la consignada en el registro de consolidación procesal, procederá a solicitar al abogado encargado la actualización y verificación de esta información, tanto en E-kogui como en el formato. Evidencia: 
Formato de información consolidada procesal
Comunicación con la comparación realizada
Solicitud de actualización y verificación, cuando sea el caso
</t>
  </si>
  <si>
    <t>Fallas en E-kogui que elimina  registros ya incorporados.</t>
  </si>
  <si>
    <t>Investigación disciplinaria</t>
  </si>
  <si>
    <t>El abogado apoderado, semanalmente, a fin de verificar que los datos registrados se encuentren vigentes y actualizados,   realiza revisión del E-kogui y de los procesos a cargo, mediante la comparación del formato: Información consolidada procesal vs información del E-kogui, Si al momento de realizar la revisión encuentra información incosistente o no actualizada, realiza la solicitud a la Agencia Nacional de Defensa Jurídica del Estado para que esta realice las correcciones respectivas en el aplicativo Evidencia: 
Formato de información consolidada procesal
Formato de inclusión y exclusión enviado a la ANDJ en los casos que sea necesario
Respuesta de la ANDJ en los casos donde se solicite alguna modificación</t>
  </si>
  <si>
    <t>Errores al realizar el reporte de calificación del riesgo en Ekogui.</t>
  </si>
  <si>
    <t>Falta de seguimiento a las notificaciones de los procesos contenciosos y a las conciliaciones</t>
  </si>
  <si>
    <t>Pérdida de oportunidad en la defensa de los intereses de la Nación</t>
  </si>
  <si>
    <t xml:space="preserve">El coordinador del Grupo de Defensa juridica, mensualmente  realiza un seguimiento a los términos de los procesos contenciosos y de las conciliaciones en los que es parte el Ministerio de Justicia y del Derecho en los registros realizados por los apoderados en los formatos preestablecidos en los procedimientos y en el eKOGUI. Si al momento de realizar el seguimiento, identifica procesos contenciosos o conciliatorios próximos a vencerse, prioriza estos procesos para adelantar los tramites correspondientes según el estado del proceso  Evidencia: 
Formatos establecidos en los procesos
Correos con alertas de vencimiento </t>
  </si>
  <si>
    <t>Falta de seguimiento de los apoderados y del coordinador al registro de información procesal y E-kogui</t>
  </si>
  <si>
    <t>Daño Jurídico</t>
  </si>
  <si>
    <t>Investigaciones disciplinarias contra los funcionarios</t>
  </si>
  <si>
    <t>Falta de seguimiento al cargue de la información en el registro de información procesal y en E-kogui</t>
  </si>
  <si>
    <t>Deterioro de la imagen del Ministerio</t>
  </si>
  <si>
    <t xml:space="preserve">El coordinador del Grupo de Defensa Jurídica, al menos dos veces al semestre, a fin de priorizar los pagos de las sentencias y conciliaciones, realiza seguimiento a las calificaciones de los riesgos procesales contenidas en E-kogui y en los formatos de consolidación procesal.  Si al momento del seguimiento identifica la obligación de pago de una sentencia o conciliación próxima a realizarse, procederá a solicitar al abogado la información para la solicitud del PAC en financiera para el tramité correspondiente. Evidencia: 
Formato de consolidación procesal
Comunicación al abogado 
Solicitud de PAC
</t>
  </si>
  <si>
    <t>Demora en la entrega de información a financiera para el respectivo pago</t>
  </si>
  <si>
    <t>Detrimento patrimonial por la causación de intereses moratorios</t>
  </si>
  <si>
    <t>Los abogados del Grupo de Defensa Jurídica   mensualmente, para identificar los pagos de las sentencias  y conciliaciones en contra del MJD,  al momento de realizar la actualizacion de la información en el sistema  E-Kogui  y en los formatos preestablecidos en los procedimientos pueden detectar sentencias y conciliaciones con pagos próximos a realizarse. Si al momento de actualizar la información, identifica que existen pagos próximos a realizarse, debera informar al coordinador del Grupo, para que este realice las gestiones internas presupuestales a las que haya lugar  Evidencia: 
Matriz de contingencias procesales 
Informes E-Kogui 
Correo electronico al coordinador informando los pagos proximos a realizarse detectados</t>
  </si>
  <si>
    <t xml:space="preserve">Olvido por parte del personal de la solicitud </t>
  </si>
  <si>
    <t>Afectación en las capacidades de atención de las entidades que conforman el sistema nacional penintenciario y carcelario</t>
  </si>
  <si>
    <t>El coordinador del grupo penitenciario y carcelario  diariamente, para llevar un control de las solicitudes que llegan a la dirección y el debido proceso de respuesta a las mismas cuando no son competencia del ministerio, realizara un seguimiento a través de un cuadro de control donde se consigna si son o no competencia del ministerio y el paso a seguir. Si en el momento de realizar el seguimiento, se identifican solicitudes recibidas el día anterior que no han sido trasladadas se debe realizar el traslado de forma inmediata, informando a las entidades que recibirán la solicitud para que la prioricen, así mismo se deberá informar de la situación al Director quien podrá realizar un requerimiento al funcionario que no ha realizado el traslado. Evidencia: Cuadro de Control debidamente diligenciado
Notificación del traslado
Traslado a traves de fuentes oficiales</t>
  </si>
  <si>
    <t>Falta de conocimiento de las obligaciones misionales por parte del personal asociado a la Dirección de Política Criminal y Penintenciaria</t>
  </si>
  <si>
    <t>Investigaciones disciplinarias</t>
  </si>
  <si>
    <t>Desconocimiento de la normatividad asociada</t>
  </si>
  <si>
    <t>El funcionario designado por el líder de la Dirección de política Criminal y penintenciaria, al menos una vez cada semestre, a fin de fortalecer el conocimiento en las obligaciones misionales de la Dirección, especialmente en los temas relacionados con el Sistema Penintenciario y Carcelario y el SRPA y así mismo en la normatividad asociada al proceso, realizara un proceso de sensibilización y capacitación a todo el personal de la DPCP,  En caso de que al momento de la ejecución de la actividad hayase un faltante de citados mayor o igual a la tercera parte , se deberá o re programar la actividad o realizarla una segunda vez, si aún después de esto se sigue presentando inasistencia se enviará por correo electrónico la información a los no asistentes para su consulta. Evidencia: Asistencia a la capacitación y sensibilización
Envío del material por correo electrónico
Programación de los eventos 
Re programación en los casos que sea necesario</t>
  </si>
  <si>
    <t>Fallas en el seguimiento a las visitas y sus respectivos compromisos</t>
  </si>
  <si>
    <t xml:space="preserve">El coordinador del grupo penitenciario y carcelario, cuando se cuente con un reporte de al menos diez visitas realizadas,  a fin de llevar un control sobre los compromisos competencia del Ministerio y los cuales quedarón establecidos en las visitas realizadas a los centros penitenciarios y a los centros del SRPA y evitar el incumplimiento de los mismos, realizara un seguimiento de los compromisos establecidos competencia del Ministerio, en el formato de seguimiento del Sistema Penitenciario y Carcelario y en el formato de seguimiento del SRPA Si al momento de realizar el seguimiento, se identifican compromisos vencidos o próximos a vencerse, se deberá proceder a informar al director, se establezca un plan a seguir para la revisión de los mismos y la delegación a un profesional o grupo de apoyo para que este comience a realizar el seguimiento a estos de forma más estricta. Evidencia: Asistencia a mesas de trabajo
Informes de seguimiento
Planes de acción en los casos en que sean necesarios
Actas de reunión 
</t>
  </si>
  <si>
    <t>Afectación de los derechos de las personas implicadas en los compromisos adquiridos.</t>
  </si>
  <si>
    <t>Incumplimiento de los objetivos del proceso</t>
  </si>
  <si>
    <t>Errores humanos al momento de realizar el acto administrativo</t>
  </si>
  <si>
    <t>Pérdida de Imagen Institucional</t>
  </si>
  <si>
    <t>Requerimientos por parte de Entes de Control</t>
  </si>
  <si>
    <t xml:space="preserve">Errores en el diligenciamiento de los datos solicitados en la plataforma SICOQ para la solicitud </t>
  </si>
  <si>
    <t>Producto no conforme</t>
  </si>
  <si>
    <t>Devolución de la documentación requerida para la contratación de personal.</t>
  </si>
  <si>
    <t xml:space="preserve">El asesor jurídico designado para el proceso de contratación de la Dirección de Política de Drogas y Actividades Relacionadas, cada vez que se vaya a realizar el proceso de contratación a traves de la prestación de servicios y previo a la entrega de la documentación a la Secretaría General, a fin de que la documentación e información consignada en la etapa pre contractual este acorde a las necesidades y requerimientos de la dependencia a cargo, revisará y ajustara la información del mismo en los aspectos técnicos y jurídicos. Si al momento de la revisión, se identifica información inconsistente, faltante o que no es clara, procede a la correción de esta, dejando una copia con los cambios realizados. Así mismo puede recibir solicitudes de ajustes por parte del líder de la Dirección. Evidencia: Versionamientos de la documentación asociada a la etapa pre contractual de los contratos
Solicitudes de ajuste a traves de las fuentes de comunicación oficiales </t>
  </si>
  <si>
    <t>Devolución de la documentación requerida para la suscribición de convenios por parte del suscriptor.</t>
  </si>
  <si>
    <t xml:space="preserve">El asesor jurídico designado para el proceso de contratación de la Dirección de Política de Drogas y Actividades Relacionadas y/o asesor jurídico designado para el proceso de contratación de la Subdirección Estratégica y de ánalisis y/o el asesor jurídico designado para el proceso de contrataciónde la Subdirección de Control y Fiscalización de Sustancias Químicas y Estupefacientes, según el campo de acción del contrato de prestación de servicios, cada vez que se vaya a realizar el proceso de contratación a traves de la prestación de servicios y previo a la entrega de la documentación a la Secretaría General, a fin de que la documentación e información consignada en la documentación pre contractual este acorde a las necesidades y requerimientos de la dependencia a cargo, revisa y ajusta la información del mismo en los aspectos técnicos y jurídicos. Si al momento de la revisión, se identifica información inconsistente, faltante o que no es clara, procede a la correción de esta, dejando una copia con los cambios realizados. Así mismo puede recibir solicitudes de ajustes por parte del líder de la Dirección o las respectivas Subdirecciones. Evidencia: Versionamientos de la documentación asociada a la etapa pre contractual de los contratos
Solicitudes de ajuste a traves de las fuentes de comunicación oficiales </t>
  </si>
  <si>
    <t>No contar con la información que provea los insumos técnicos necesarios para la realización de los seguimientos.</t>
  </si>
  <si>
    <t>Novedades registradas extemporáneamente</t>
  </si>
  <si>
    <t xml:space="preserve">El grupo interno de nómina de GTH, cada vez que se presenta una novedad que pueda ser incluida en la nómina del mes, a fin de que todas queden causadas en el mes que se reportaron, las revisa y las  ingresa en el sistema; posteriormente se realiza una revisión por parte del líder del proceso en conjunto con quienes realizarón el cargue de las mismas. Si al realizar esta última revisión se encuentran inconsistencias, se procede al ajuste en el sistema y se informa del mismo al líder del proceso. Evidencia: 
Soportes de novedades en formato digital
Soportes de liquidación y cargue de novedades (SIIF, RF, Reporte de Bancos, Libranzas, AFC y AFP, Embargos, entre otros) </t>
  </si>
  <si>
    <t>Fallas del sistema de liquidación de nómina.</t>
  </si>
  <si>
    <t>Afectación de los servicios a los cuales acceden los servidores</t>
  </si>
  <si>
    <t>El contratista cada vez que se presenten inconsistencias detectadas por el grupo de nómina de GTH, a fin de corregir estos fallos, realiza los cambios requeridos en el sistema de liquidación de nómina. Si al momento de realizar los procedimientos para la respectiva correción se encuentra una situación que no es posible enmendar de forma inmediata, el equipo de nómina lo corrige de forma manual, mientras el contratista realiza la corrección en el sistema. Evidencia: Reporte de inconsistencias a traves del sistema con un número de caso, cierre efectivo del caso (corrección), corrección manual cuando sea el caso.</t>
  </si>
  <si>
    <t>Inoportunidad en la entrega de las novedades</t>
  </si>
  <si>
    <t>Requerimientos por parte de los Entes de Control</t>
  </si>
  <si>
    <t>El grupo de nómina de GTH mensualmente, a fin de clasificar las novedades que se liquidaran en el mes y las que se liquidaran de forma posterior, siguiendo la circular establecida por Secretaría General procede a recibir todas las novedades entregadas por las areas, los servidores y terceros, teniendo en cuenta las fechas que se consignan en esta. Si al momento de recibir la novedad esta se encuentra fuera del plazo establecido en la circular puede o causarla en el mes siguiente o registrarla de forma tardía en una nómina adicional, esta última solamente de acuerdo a ciertas excepciones. Evidencia: Acuse de recibido de las novedades . Nómina adicional cuando la situación lo amerité.</t>
  </si>
  <si>
    <t>Errores al digitar la información en el sistema</t>
  </si>
  <si>
    <t>Asignación presupuestal insuficiente.</t>
  </si>
  <si>
    <t>Afectación de los objetivos del Ministerio.</t>
  </si>
  <si>
    <t xml:space="preserve">El profesional designado de Gestión del Talento Humano mensualmente, a fin de lograr la mayor cobertura de tematicas por el PIC, revisa la oferta institucional de otras entidades públicas que capaciten a costo cero, estructura los PAE con personal del Ministerio en tematicas especificas, realiza la gestión con la OAP para la busqueda de recursos en otros rubros que permitan subsanar tematicas susceptibles de certificación. Si al momento de realizar alguna de las labores mencionadas, no se logra cubrir una tematica en especifico, se deja evidencia la gestión, la cual será utilizada como insumo para reportes e informes del area. Evidencia: Confrontación de la Oferta Institucional de otras Entidades Públicas vs el PIC 
Proyectos de Aprendizaje en Equipo
Asignación presupuestal adicional </t>
  </si>
  <si>
    <t>Demoras en el proceso contractual para la contratación de proveedores de servicio de capacitación</t>
  </si>
  <si>
    <t>Afectación presupuestal.</t>
  </si>
  <si>
    <t>El profesional designado de Gestión del Talento Humano, cada vez que se requiere la contratación de una tematica de capacitacion, para evitar demoras en el proceso pre-contractual, establece un cronograma con tiempos y responsables donde se detallen todas las actividades que se deban realizar para llevar a buen término el proceso pre-contractual. Si se presenta una situación que impida el cumplimiento de alguna actividad en la fecha establecida se deberá modificar el cronograma para que este se ajuste a las nuevas fechas sin perder los plazos límites establecidos inicialmente. Evidencia: Cronograma interno de trabajo 
Seguimiento al cronograma interno de trabajo
Modificaciones del cronograma
Entrega de la documentación a gestión contractual</t>
  </si>
  <si>
    <t>Desinterés en la participación de los servidores</t>
  </si>
  <si>
    <t xml:space="preserve">Incumplimiento de lineamiento normativo </t>
  </si>
  <si>
    <t>El coordinador del proceso de Gestión del Talento Humano, cada vez que un funcionario no asista a una capacitación que involucre recursos, a fin de dejar una trazabilidad de la inasistencia y buscar un cambio de cultura al interior del Ministerio sobre este tema, informara tanto al jefe inmediato como al servidor del evento dando a conocer el valor de la capacitación a la cual no se asistió.  Al momento de remitir la comunicación solicitar la confirmación de lectura a fin de dejar en evidencia el envío y recibido del mismo. Evidencia: Correos electrónicos o comunicaciones al jefe inmediato y al servidor
Respuesta por parte de los receptores</t>
  </si>
  <si>
    <t>El coordinador del proceso de Gestión del Talento Humano, previo a una capacitación que involucre recursos a fin de sensibilizar al servidor público sobre la importancia de asistir a la capacitación, envía una comunicación al funcionario inscrito detallando los beneficios de su asistencia y las implicaciones de su inasistencia. Al momento de remitir la comunicación solicitar la confirmación de lectura a fin de dejar en evidencia el envío y recibido del mismo. Evidencia: Correo electrónico o comunicaciones al servidor inscrito
Respuesta por parte del receptor</t>
  </si>
  <si>
    <t>Falencia en la revisión de requisitos mínimos.</t>
  </si>
  <si>
    <t>Investigaciones disciplianrias y/o fiscales y/o penales
Requerimientos por parte de Entes de Control</t>
  </si>
  <si>
    <t>El  Coordinador del proceso de Gestión del Talento Humano, cada vez  que se vaya a realizar una vinculación de un empleado público, a fin de corroborar la información diligenciada por el profesional encargado de la revisión de los requisitos de formación, experiencia y antecedentes, verificara la información contenida en los siguientes formatos: Cálculo de tiempo de experiencia laboral, certificado de Cumplimiento de requisitos y la información de los siguientes certificados: antecedentes fiscales, disciplinarios y judiciales. Si al momento de hacer la verificación, identifica información que no es clara, esta incorrecta o el aspirante no cumple con los requisitos, se hace el llamado a la revisión por parte del profesional para que este la subsane o la aclare con el aspirante, si luego de este proceso se concluye que el aspirante no cumple con los requisitos, se informará al aspirante y a secretaría general para que se proceda a tomar la decisión del caso. Evidencia: Formato cálculo de tiempo de experiencia laboral, 
Formato certificado de Cumplimiento de requisitos 
Certificados de antecedentes fiscales, disciplinarios y judiciales.
Visto bueno del coordinador.
Comunicaciones al profesional encargado para las correcciones o aclaraciones cuando proceda.
Comunicaciones al aspirante y a secretaría general cuando procedan</t>
  </si>
  <si>
    <t>El profesional de Gestión Humana cada vez  que se vaya a realizar una actividad que tengamos la mayor participación posible teniendo en cuenta el diagnostico de necesidades, a las actividades de mayor acogida en el año anterior y la propuesta del proveedor se deberá reprogramar la actividad o en su defecto buscar otra actividad que tenga mayor acogida Diagnóstico de necesidades, propuesta presentada por la contratación y las inscripciones realizadas</t>
  </si>
  <si>
    <t>Demoras en el proceso contractual para la contratación de proveedores de bienestar y estímulos.</t>
  </si>
  <si>
    <t>El profesional de Gestión Humana una vez al año contratación de las actividades de Bienestar solicitud de cotización para garantizar que las actividades que se van a contratar se ajuesten al presupuesto asignado si la propuesta no está ajustada al total del prespuesto se debe recotizar hasta que se tenga el valor correspondiente solictud de cotización y presentación de propuestas</t>
  </si>
  <si>
    <t>Inasistencia de los pre inscritos a las actividades de Bienestar</t>
  </si>
  <si>
    <t>El profesional de Gestión Humana por cada actividad que todos los funcionarios y sus familiar tengan igualdad de participación mediante correo se informa de la actividad y se lleva a cabo una inscripción  que no cumplirse el cupo o estar sobre pasado se debe hacer los ajustes correspondientes con el contratista correos de inscripción e información al contratista de los inscritos</t>
  </si>
  <si>
    <t>Demoras en la entrega de los documentos por parte del solicitante</t>
  </si>
  <si>
    <t>Que el funcionario no pueda viajar por no allegar la documentación a tiempo.</t>
  </si>
  <si>
    <t>Entrega incompleta de la documentación por parte del solicitante</t>
  </si>
  <si>
    <t>Que el funcionario no pueda viajar por no allegar la documentación completa.</t>
  </si>
  <si>
    <t>El Técnico administrativo del area, cada vez que el funcionario vaya a realizar un viaje, revisará que los docuemntos entregados esten completos, verificará los documentos de acuerdo a la Guia Comisión de servicios al exterior. Si en el momento de hacer la verificación los documentos estan imcompletos o la información no es clara, se hará el llamado al funcionario para que la subsane y se le recordará los limites de tiempo de entrega para subir la información al aplicativo de presidencia. G-THAD-01 G-THAD-01 Versión 3. (No. 4.1).</t>
  </si>
  <si>
    <t>No gestión de la incapacidad por parte del proceso a la EPS</t>
  </si>
  <si>
    <t>Detrimento patrimonial</t>
  </si>
  <si>
    <t>Desconocimiento y/o incumplimiento del procedimiento para la validación de incapacidades por parte de los servidores publicos.</t>
  </si>
  <si>
    <t>El coordinador del Grupo de Gestiòn Humana durante los 4 meses siguientes a su vinculación Con el fin de iniciar al empleado en la integraciòn a la cultura organizacional Ejecuta el proceso de inducción, con una formación y aprendizaje sobre todos los asuntos relacionados con sus dependencias, al igual que sus responsabilidades individuales, sus deberes y sus derechos. Se reorienta la integraciòn del funcionario en la cultura organizacional de acuerdo a los cambios en los asuntos que interfieran en el logro de los objetivos, con actualizaciones acerca de las normas que regulan los procesos. Evidencia: Formato evaluación de satisfacción de las actividades de capacitación F-HTDE-02-05 
Formato Listados de asistencia F-HTDE-02-04</t>
  </si>
  <si>
    <t>Hallazgos en los resultados de auditoría.</t>
  </si>
  <si>
    <t>No reportar información a tiempo por parte de los responsable del proceso</t>
  </si>
  <si>
    <t>La persona designada o el coordinador del grupo de calidad y transformación organizacional trimestralmente a fin de identificar información o documentación desactualizada o incompleta en el SIG, realizará verificación de la información cargada en el sistema, en caso de encontrar información incompleta o desactualizada, requerirá a través de correo electrónico al responsable y facilitador del proceso el envió o cargue de la información actualizada. Evidencia: correo electrónico solicitando la información, respuesta enviada por el responsable o facilitador del proceso</t>
  </si>
  <si>
    <t>Debilidad en la planeación de los reportes o seguimiento</t>
  </si>
  <si>
    <t>Insuficiente información sobre el estado del SIG</t>
  </si>
  <si>
    <t>La persona designada o el coordinador del grupo de calidad y transformación organizacional trimestralmente con el fin de dar cumplimiento a las diferentes actividades relacionadas con el mantenimiento del sistema y permitir un mejor control de los reportes a realizar, hará seguimiento al cronograma establecido para los reportes del SIG, en caso de encontrar incumplimiento o retraso en el envio de la información, requerirá a través de correo electrónico al responsable y facilitador del proceso el envió o cargue de la misma. Evidencia: Cronograma de reporte,  correo electrónico solicitando la información, respuesta enviada por el responsable o facilitador del proceso</t>
  </si>
  <si>
    <t xml:space="preserve">No poder tomar decisiones frente al sistema </t>
  </si>
  <si>
    <t>Definir actividades en los planes y proyectos que no son competencia en terminos de misionalidad de la entidad</t>
  </si>
  <si>
    <t>Incumplir las metas establecidas en el plan estratégico institucional</t>
  </si>
  <si>
    <t>Inadecuada aplicación de la metodología para la formulación de los  proyectos de inversión por parte de los formuladores</t>
  </si>
  <si>
    <t>Incorrecta aplicación de los lineamientos por parte de los responsables en el proceso de formulación de la planeación institucional.</t>
  </si>
  <si>
    <t>Incumplimiento del referente estratégico de la entidad.</t>
  </si>
  <si>
    <t>El profesional asignado del grupo de planeación estratégica de la OAP cada vez que se va a realizar la formulación de la planeación verificara que las acciones establecidas sean coherentes con: el PND, los objetivos estratégicos y  la misionalidad de la entidad. mediante mesas de trabajo con las dependencias En caso de encontrar información faltante o que no es coherente, se resuleve de forma inmediata en la mesa de trabajo o de ser necesario se devuelve al respectivo formulador para su corrección luego de su revisión con el líder de la dependencia. Evidencia: Formato del Plan de Acción y del Plan Estratégico. Listados de asistencia. Correo electrónico solicitando la correción y fornatos ajustados</t>
  </si>
  <si>
    <t>Retrasos en la ejecución del presupuesto de inversión por leyendas de previo concepto</t>
  </si>
  <si>
    <t>El profesional asignado del grupo de planeación estratégica de la OAP cada vez que se va a realizar la formulación de la planeación verificara que los lineamientos brindados por esta oficina hayan sido tenidos en cuenta de forma correcta mediante mesas de trabajo con las dependencias En caso de encontrar información faltante o que no cumple con los lineamientos, se resuelve de forma inmediata en la mesa de trabajo o de ser necesario se devuelve al respectivo formulador para su corrección luego de su revisión con el líder de la dependencia. Evidencia: Formato del Plan de Acción y del Plan Estratégico. Listados de asistencia. Correo electrónico solicitando la correción y formatos ajustados</t>
  </si>
  <si>
    <t>Incumplimiento de las metas establecidas en el plan institucional</t>
  </si>
  <si>
    <t>El líder de la OAP previo a la publicación en la página WEB del Ministerio de los diferentes planes y a fin de generar un compromiso con el ejercicio de planeación e informar sobre las actividades responsabilidad de los diferentes procesos llevará a aprobación del Comité Institucional de Gestión y Desempeño, la planeación estratégica e institucional En caso de presentarse comentarios o sugerencias por parte de algún miembro del Comité y de ser posible se resoloverán de forma inmediata en este espacio o de ser necesario, se devolverá al respectivo formulador para su corrección luego de la revisión con el líder de la dependencia. Evidencia: Formato del Plan de Acción y del Plan Estratégico. Actas de comité. Correo electrónicos solicitando la correciones y formatos ajustados</t>
  </si>
  <si>
    <t>Inadecuada ejecución de recursos de Proyectos de Inversión</t>
  </si>
  <si>
    <t>El Grupo de Gestión de Proyectos y Presupuesto, mensualmente a fin de controlar la ejecución de los proyectos de inversión y generar alertas frente al tema, realizará la revisión de todos los proyectos de inversión, de acuerdo a los parámetros de calidad y oportunidad de la información a los que se hace mención en el Decreto 1082 de 2015, En caso de encontrar inconsistencias o información que no es clara, se debe remitir al responsable del seguimiento las observaciones y ajustes a las que haya lugar mediante correo electronico, a fin de que este las corrija en el Sistema de Seguimiento de Proyectos de Inversión antes del cierre estipulado. Si el ajuste no se realiza en los tiempos estipulados, se registra en un libro de Excel los ajustes solicitados para realizar una nueva solicitud a ser tenida en cuenta en el seguimiento del mes siguiente. Evidencia: Correos electronicos solicitando ajustes, Libro de Excel con ajustes solicitados pero no cumplidos, Correos electronicos con los ajustes.Se encuentra contenido en Formulación y Seguimiento de Proyectos de Inversión</t>
  </si>
  <si>
    <t>Retrasos en la contratación de la entidad</t>
  </si>
  <si>
    <t>Afectación de le ejecución presupuestal de la entidad</t>
  </si>
  <si>
    <t>El Grupo de Gestión de Proyectos y Presupuesto, trimestralmente a fin de informar sobre la ejecución presupuestal y generar recomendaciones o alertas sobre la misma a criterio propio, realiza un informe de seguimiento a la ejecución presupuestal de todas las dependencias del Ministerio de Justicia y el Derecho, incluyendo recursos de crédito externo De detallar algun aspecto sobre el que vale la pena hacer una recomendación o alerta a criterio propio, sera informado a la dependencia responsable y al Comité Institucional de Gestión y Desempeño Evidencia: Informe de seguimiento, Acta de Comité, Correos electronicos informando a las dependencias .Se encuentra contenido en Programación presupuestal y seguimiento a los ingresos y a laejecución de los recursos asignados</t>
  </si>
  <si>
    <t xml:space="preserve">Reprocesos en la gestión interna en la fase de planeación </t>
  </si>
  <si>
    <t>Incumplimiento de las metas asignadas a la entidad en el PND</t>
  </si>
  <si>
    <t>Retrasos en la gestión interna en la fase de ejecución</t>
  </si>
  <si>
    <t xml:space="preserve">Insatisfación de los grupos de valor </t>
  </si>
  <si>
    <t>La Oficina Asesora de Planeación durante la fase de planeación de la entidad asesorara metodologicamente a las dependencias en el diligenciamiento del formato del PAI y el PEI mediante mesas de trabajo  De ser necesario realizar varias mesas de trabajo estas se programaron en el transcurso de la fase de planeación, para resolver dudas sobre el dilingenciamiento del formato  Evidencia: Asistencia a mesas de trabajo, formato del PAI - PEI diligenciado .Se encuentra contenido en Formulación y seguimiento del PAI - Formulación y seguimiento del PES - PEI</t>
  </si>
  <si>
    <t>La solicitud no es enviada con el expediente completo</t>
  </si>
  <si>
    <t>Sobreacumulación de peticiones sobre un caso</t>
  </si>
  <si>
    <t>El coordinador del Grupo de traslado de personas condenadas, previo al estudio del caso por parte de la Comisión Intersectorial para el estudio de repatriación de presos y posterior a la revisión y gestión del profesional designado de este, a fin de verificar que la información y la documentación del expediente se encuentre completa, revisará que la información consignada en la hoja de vida del condenado corresponda con la documentación que conforma el expediente, En caso de que al momento de revisar la hoja de vida del condenado, se identifique que el expediente se encuentra incompleto o que la información este incorrecta, en el primer caso se solicita al profesional encargado del caso para que este gestione la documentación faltante, en el segundo caso se solicitara al profesional las correcciones a las que haya lugar. Evidencia: Estudio del caso por parte de la comisión.
Gestión de la documentación faltante a las autoridades correspondientes por parte del profesional encargado del caso, cuando haya lugar.
Recepción por segunda vez de la hoja de vida con las correcciones por parte del profesional encargado del caso.</t>
  </si>
  <si>
    <t>Revisión inadecuada de la documentación por parte del funcionario designado del caso</t>
  </si>
  <si>
    <t>Requerimientos de entes de control</t>
  </si>
  <si>
    <t>Descuido del funcionario encargado del caso para la atención de la solicitud</t>
  </si>
  <si>
    <t>El coordinador del Grupo de traslado de personas condenadas, cada dos meses, a fin de verificar que se este realizando la gestión a la solicitud y determinar en que fase se encuentra, revisará los casos en la base de datos de solicitudes de traslado. En caso de que al momento de realizar la verificación se identifique una solicitud que aparece en la base de datos en estado Recibida luego de dos meses, pero no aparece ninguna otra actuación se solicitará al profesional encargado del caso la debida justificación del tema y se procederá a informar a este la prioridad de la gestión de la misma. Evidencia: Observaciones por parte del coordinador en la base de datos sobre el caso
Requerimiento al profesional de la justificación, en el caso que se requiera</t>
  </si>
  <si>
    <t>La autoridad judicial remite la solicitud de asistencia judicial sin el lleno de los requisitos previstos en el convenio internacional aplicable</t>
  </si>
  <si>
    <t xml:space="preserve">Incidencia negativa en la decisión judicial </t>
  </si>
  <si>
    <t>Fallas en la revisión de la documentación soporte de la solicitud del servicio</t>
  </si>
  <si>
    <t xml:space="preserve">Afectación judicial en la cooperación entre gobiernos y autoridades judiciales </t>
  </si>
  <si>
    <t>Requerimiento por parte de un ente de control</t>
  </si>
  <si>
    <t>Devolución de la documentación soporte de la solicitud de extradicción pasiva que se envía a la CSJ</t>
  </si>
  <si>
    <t>Demoras en la notificación a las partes interesadas del acto administrativo de extradicción pasiva.</t>
  </si>
  <si>
    <t>Enviar a Cancillería de manera incompleta la documentación requerida para la extradicción activa al tratado aplicable al caso</t>
  </si>
  <si>
    <t>Devolución de Cancillería por errores en la documentación enviada para la solicitud de extradicción activa.</t>
  </si>
  <si>
    <t>Indebida aplicación de los lineamientos establecidos en los procedimientos internos para la implementación del programa nacional de casas de justicia y convivencia ciiudadana</t>
  </si>
  <si>
    <t>Indebida aplicación de los lineamientos establecidos en los procedimientos internos para la implementación del programa de justicia en equidad</t>
  </si>
  <si>
    <t>Indebida aplicación de los lineamientos establecidos en los procedimientos internos para la implementación del programa de conciliación extrajudicial en derecho, arbitraje y amigable composición</t>
  </si>
  <si>
    <t>Afectación en temas de convivencia y solución de conflictos en el orden territorial</t>
  </si>
  <si>
    <t>Afectación de la calidad del servicio que prestan los centros de conciliación y entidades avaladas</t>
  </si>
  <si>
    <t xml:space="preserve">Fallas en el sistema de circuito cerrado de TV </t>
  </si>
  <si>
    <t>Incumplimiento de la guía de servicios administrativos en el item Vigilancia y Seguridad</t>
  </si>
  <si>
    <t>Falta de mantenimiento de los equipos, redes eléctricas e hidráulicas</t>
  </si>
  <si>
    <t>Falta de coordinación con las ESP para los mantenimientos que impliquen suspensión del servicio.</t>
  </si>
  <si>
    <t xml:space="preserve">Fallas en los sistemas de tanques de agua y planta electrica </t>
  </si>
  <si>
    <t>Retrasos en el cumplimiento de agenda de la alta dirección (Ministro, Viceministros y Directivos)</t>
  </si>
  <si>
    <t>El supervisor del contrato mensualmente verificará el cumplimiento de las obligaciones del contratista realizando una confrontación de los requerimientos técnicos contra los entregables Cuando el supervirsor observe inconsistencias o incumplimientos informara inmediatamente al contratista para que este realice las correciones del caso, en la situación que no se pueda subsanar, se deberá hacer el reporte a gestión contractual. En el caso que los incumplimientos sean reiterativos se podra dar por terminado el contrato siempre y cuando se evidencie que se le notificaron los reportes y no hubo acción correctiva sobre estos.  Evidencia: Informe de supervisión
Requerimientos al contratista
Reporte a Gestión Contractual</t>
  </si>
  <si>
    <t>Fallas mecánicas y electrónicas de los automotores</t>
  </si>
  <si>
    <t>Siniestros con terceros</t>
  </si>
  <si>
    <t>El grupo de almacen, inventarios y transporte cada que suceda un siniestro a fin de evitar indisponibilidad en la planta vehicular  realizara una asignacion de un segundo vehiculo para cubrir las obligaciones del vehiculo siniestrado Siempre que se reporte un accidente se deberá de forma inmediata trasladar las obligaciones del vehículo siniestrado a un segundo vehículo. Evidencia: Registro de accidente en el formato designado
Reporte del accidente
Asignación de obligaciones en una matriz de control</t>
  </si>
  <si>
    <t>Mal uso del vehiculo por parte de los conductores</t>
  </si>
  <si>
    <t>El grupo de almacen, inventarios y transporte, mensualmente, a fin de fortalecer el conocimiento sobre normas de tránsito, seguridad vial entre otros temas, realiza capacitaciones o jornadas de sensibilización a los conductores del Ministerio. Si al momento de realizar la jornada de capacitación o sensibilización se presenta la inasistencia de una tercera parte o más de los conductores citados, se deberá reprogramar esta para dar la mayor cobertura posible. Para algunos casos y dependiendo de la temática se podra dar caracter de obligatorio a la jornada. Evidencia: Asistencia a las jornadas de capacitación o sensibilización
Programación de las jornadas
Material utilizado en las jornadas</t>
  </si>
  <si>
    <t xml:space="preserve">Falta de seguimiento a los estados, y/o notificaciones en  los  procesos de extincion de dominio </t>
  </si>
  <si>
    <t xml:space="preserve">El coordinador del Grupo de Extinción de Dominio  semanalmente realiza un seguimiento a los términos de los memoriales de los procesos de extinción de dominio en los que interviene el Ministerio de Justicia y del Derecho, en los registros realizados por los apoderados en los formatos preestablecidos en la Guía de Extinción de Dominio. Si al momento de realizar el seguimiento, identifica memoriales de los procesos de extinción de dominio próximos a vencerse, prioriza  estos procesos para adelantar los trámites correspondientes según el estado del proceso, Evidencia: 
Formatos establecidos en la Guía 
Correos con alertas de vencimiento 
</t>
  </si>
  <si>
    <t xml:space="preserve">Falta de envío oportuno y con calidad de las piezas procesales por parte de la Fiscalia y Juzgados de extincion de dominio </t>
  </si>
  <si>
    <t xml:space="preserve">Los abogados Grupo de Extinción de Dominio  semanalmente  para identificar de los proceso de Extinción de Dominio en los que interviene el Ministerio de Justicia y del Derecho , cuales no contienen piezas procesales completas  realiza verificación de la documentación aportada en  las carpetas físicas y digitales de los procesos de extinción de dominio de los que son apoderados   Si al momento de la verificación en las carpetas, se identifica que existen piezas procesales faltantes,  deberá solicitar al juzgado o fiscalía titular las piezas faltantes al proceso judicial Evidencia: 
Carpetas físicas - Digitales 
Correos o memoriales </t>
  </si>
  <si>
    <t>Para una correcta descripción del Control Remitase a la Hoja CONTROLES</t>
  </si>
  <si>
    <t>Herramienta de Riesgos de Corrupción</t>
  </si>
  <si>
    <t>ANÁLISIS DEL RIESGO</t>
  </si>
  <si>
    <t>Análisis de Impacto Riesgos de Corrupción</t>
  </si>
  <si>
    <t>1. ¿Afecta al grupo de funcionarios del proceso?</t>
  </si>
  <si>
    <t>2. ¿Afecta el cumplimiento de metas y objetivos de la dependencia?</t>
  </si>
  <si>
    <t>3. ¿Afecta el cumplimiento de misión de la Entidad?</t>
  </si>
  <si>
    <t>4. ¿Afecta el cumplimiento de la misión del sector al que pertenece la Entidad?</t>
  </si>
  <si>
    <t>5. ¿Genera pérdida de confianza de la entidad, afectando la reputación?</t>
  </si>
  <si>
    <t>6. ¿Genera pérdida de Recursos Económicos?</t>
  </si>
  <si>
    <t>7. ¿Afecta la generación de los productos o la prestación de servicios?</t>
  </si>
  <si>
    <t>8. ¿Da lugar al detrimento de calidad de vida de la comunidad por la pérdida del bien, servicios o recursos públicos?</t>
  </si>
  <si>
    <t>9. ¿Genera pérdida de información de la Entidad?</t>
  </si>
  <si>
    <t>10. ¿Genera intervención de los órganos de control, de la Fiscalía u otro ente?</t>
  </si>
  <si>
    <t>11. ¿Da lugar a procesos sancionatorios?</t>
  </si>
  <si>
    <t>12. ¿Da lugar a procesos disciplinarios?</t>
  </si>
  <si>
    <t>13. ¿Da lugar a procesos fiscales?</t>
  </si>
  <si>
    <t>14. ¿Da lugar a procesos penales</t>
  </si>
  <si>
    <t>15. ¿Genera pérdida de credibilidad del sector?</t>
  </si>
  <si>
    <t>16. ¿Ocasiona lesiones físicas o pérdida de vidas humanas?</t>
  </si>
  <si>
    <t>17. ¿Afecta la imagen regional?</t>
  </si>
  <si>
    <t>18. ¿Afecta la imagen nacional?</t>
  </si>
  <si>
    <t>19. ¿Genera daño ambiental?</t>
  </si>
  <si>
    <t>CONTADOR DE IMPACTO</t>
  </si>
  <si>
    <t>Conceder el beneficio jurídico de indulto sin la verificación de la documentación soporte del expediente, a fin de beneficiar indebidamente a la persona que hace la solicitud.</t>
  </si>
  <si>
    <t>Obtención de libertad de una persona que no cumple con los requisitos establecidos en la norma.
Investigación disciplinaria.
Sanción
Investigación penal.</t>
  </si>
  <si>
    <t>Verificación errónea de la documentación que hace parte del tramité</t>
  </si>
  <si>
    <t>El coordinador del grupo de actuaciones legales y constitucionales y el (la) Director(a) de Justicia Transicional, cada vez que se vaya a expedir el proyecto de resolución a través del cual se decide la solicitud de indulto, a fin de detectar posibles inconsistencias en la documentación que allega para el tramité, revisará la información del expediente y el proyecto de resolución emitido por el profesional que realizó la verificiación inicial. Si en el momento de la revisión, se encuentra alguna inconsistencia en la documentación se procederá a notificar al solicitante las razones por las cuales no es procedente el tramité. Evidencia: Hoja de ruta del tramité con el visto bueno del profesional, coordinador y director
Notificación al solicitante exponiendo las razones por las cuales es improcedente la solicitud.</t>
  </si>
  <si>
    <t>Utilizar el efectivo de la caja menor para realizar pagos  sin los debidos soportes o para uso personal beneficiando a un tercero o para un beneficio propio</t>
  </si>
  <si>
    <t xml:space="preserve">Investigaciones Disciplinarias
Requerimientos por parte de entes de control
</t>
  </si>
  <si>
    <t>Desconocimiento de los requisitos para el tramité de pagos</t>
  </si>
  <si>
    <t>El responsable del areá donde esta ubicada la caja menor, al menos una vez al año, a fin de reforzar el conocimiento sobre los requisitos que se deben tener en cuenta para el tramité de los pagos, socializará con los responsables del manejo de la caja menor el procedimiento asociado, Al momento de que ocurra un cambio de personal responsable de la caja menor se deberá realizar el proceso de socialización en forma de inducción en los primeros días luego de su ingreso. Evidencia:
Soportes de la socialización.
Soportes de la inducción con la temática particular sobre el procedimiento asociado al manejo de la caja menor en los casos que se requiera.</t>
  </si>
  <si>
    <t>Excesiva confianza en la persona a cargo de la caja menor</t>
  </si>
  <si>
    <t>La persona designada por el líder del grupo de gestión financiera,  al menos cuatro veces al año, a fin de detectar posibles movimientos de efectivo sin los debidos soportes, realizará una verificación de los soportes que dieron lugar al pago utilizando efectivo o transferencias de las cajas menores, así como la revisión del efectivo que se encuentra en estas. Si al momento de la verificación se identifica faltante de efectivo o pagos sin los debidos soportes, se procederá a comunicar esta situación a la persona encargada del manejo de la caja menor y al líder del proceso donde se encuentre ubicada la caja menor, para establecer las razones de la situación detectada y el debido proceso a seguir dependiendo del monto. Evidencia:
Soportes de la verificación de las cajas menores (Formato de arqueo)
Comunicación al responsable del manejo de la caja menor y al líder del proceso cuando la situación lo amerite</t>
  </si>
  <si>
    <t>Uso inadecuado de la información aprovechando el acceso a  los repositorios de información a fin de obtener un beneficio propio o beneficiar a un tercero</t>
  </si>
  <si>
    <t>Pérdida de imagen institucional
Investigaciones disciplinarias,
Sanciones</t>
  </si>
  <si>
    <t>El Oficial de seguridad de la información designado para tal fin, al menos una vez al año, a fin de detectar posibles fallas en la política de seguridad de la información y proceder a la mejora de la misma, hace seguimiento a la aplicación de esta Política, realiza las actividades necesarias para fortalecer la gestión y su divulgación. En caso de que al momento de hacer seguimiento a la política, identifique posibles fallas o mejoras en la misma, procederá a realizar las actividades que permitan subsanar las situaciones presentadas, así mismo informará al jefe inmediato sobre estas, reportando lo encontrado. Si una situación no se pudiese subsanar de forma inmediata se deberá estructurar un plan de mejora o de fortalecimiento de la política  Evidencia: Seguimiento de la política a través de un reporte al jefe inmediato
Política actualizada
Mecanismos de divulgación de política
Plan de mejora o de fortalecimiento de ser necesario</t>
  </si>
  <si>
    <t>Fallas en la aplicación de las  políticas de seguridad de la información</t>
  </si>
  <si>
    <t xml:space="preserve">El grupo de funcionarios designados por la Subdirección de Tecnologías y Sistemas de Información,  al menos una vez al año, a fin de detectar posibles fallas en los controles de acceso a los repositorios de información y sistemas de información, verificará que los permisos y accesos se encuentren actualizados, para ello informará al jefe inmediato y al líder de aréa, quien procederá a realizar una segunda revisión y enviará a la subdirección los cambios que sean requeridos. En caso de que al momento de hacer la verificación se encuentre algun dato incosistente se reportará la situación al jefe inmediato e igualmente al líder de aréa, igualmente si despues de una semana no se recibe respuesta por parte del area, se dejara evidencia de la informaicón remitida y se aplicará el silencio administrativo positivo. Evidencia: Reporte de los datos inconsistentes cuando sea necesario
Correos electronicos enviados a los líderes de aréa
Respuestas de los líderes de aréa
Listados de usuarios y controles de acceso actualizados
</t>
  </si>
  <si>
    <t>Controles desactualizados para el acceso a los sistemas de información</t>
  </si>
  <si>
    <t xml:space="preserve">
Extracción de información clasificada o reservada de personal no autorizado a fin de un beneficio propio o de un tercero de los archivos.</t>
  </si>
  <si>
    <t xml:space="preserve">
1.Uso Indebido de la consulta                                 
</t>
  </si>
  <si>
    <t>1. Sanciones de entes de Control 
2. Investigaciones disciplinarias, penales y fiscales
3. Mala imagen institucional
4. Perdida de la memoria institucional</t>
  </si>
  <si>
    <t>La persona encargada de realizar los prestamos cada vez que se solicite el préstamo de información clasificada, para determina si la información puede ser prestada a la persona solicitante a través de la intranet o página, web, realiza la búsqueda de los datos registrados en los inventarios documentales en el caso en el que la persona no esté autorizado para su consulta ni prestamos se le informara a través del canal correspondiente la justificación del porqué. 
Evidencia: solicitud de consulta correo justificando o formato de préstamo</t>
  </si>
  <si>
    <t xml:space="preserve">
1.Uso Indebido de la consulta                                 
2.Uso indebido de Préstamo de la Información Reservada.
                                 </t>
  </si>
  <si>
    <t>2.Uso indebido de Préstamo de la Información Reservada.</t>
  </si>
  <si>
    <t xml:space="preserve">                                 </t>
  </si>
  <si>
    <t>Emitir informes de auditoría manifiestamente contrarios a la Ley por parte del JCI permitiendo el tráfico de influencias para beneficiar u ocultar información de partes interesadas</t>
  </si>
  <si>
    <t>Solicitudes de terceros o partes interesadas</t>
  </si>
  <si>
    <t>Pérdida de credibilidad Institucional;
Investigaciones Disciplinarias
Sanciones legales</t>
  </si>
  <si>
    <t>no</t>
  </si>
  <si>
    <t>El Jefe o el auditor de la OCI  cada vez que se desarrolla una auditoria y antes de ser remitido a las partes interesadas, a fin de evitar imprecisiones en el contenido del mismo revisa el informe preliminar y sus papeles de trabajo. En caso de observar inconsistencias solicita las justificaciones o correcciones al auditor para realizar los respectivos ajustes al informe. Evidencia: Informe con sus respectivas modificaciones
Solicitudes de modificación a los informes
Comunicaciones de las modificaciones
Informe final remitido a las partes interesadas</t>
  </si>
  <si>
    <t>Falencias en la revisión de informes</t>
  </si>
  <si>
    <t>Presión de superiores para la modificación</t>
  </si>
  <si>
    <t>El Jefe o cualquier miembro de la OCI  cada vez que al revisar un informe se vea presionado por una parte interesada o un superior para la modificación del mismo, a fin de evitar presentar un informe que no sea fiel a la realidad, que omita información o que  vaya en contravía de la ley, realizará la denuncia respectiva siguiendo el conducto regular estipulado para ello. Evidencia:Denuncia
Informe con las modificaciones</t>
  </si>
  <si>
    <t xml:space="preserve">Manipulación del proceso de licenciamiento por parte de los profesionales que evaluan las solicitudes de licencias y/o cupos a fin de obtener un beneficio propio o beneficiar  un tercero </t>
  </si>
  <si>
    <t>Prebendas a los ingenieros agrónomos o al personal jurídico</t>
  </si>
  <si>
    <t>Otorgamiento de licencias sin cumplir con los requisitos
Investigaciones Disciplinarias
Sanciones 
Afectación de la imagen institucional</t>
  </si>
  <si>
    <t>El centralizador  cada vez que se vaya a realizar una visita a un predio en el proceso de la solicitud del tramite de licenciamiento, para reducir la posibilidad del ofrecimiento de prebendas a los ingenieros agrónomos, designará a un ingeniero agrónomo diferente de quien esta llevando a cabo la revisión de la solicitud, para que realice la visita. En el caso que se presentase la necesidad de que el ingeniero agrónomo que este haciendo la revisión de la solicitud sea el mismo que deba hacer la visita, se priorizara la solicud del acompañamiento de la Policia Nacional para realizar este proceso. Evidencia: Acta de Visita</t>
  </si>
  <si>
    <t>Manipulación indebida de la información,</t>
  </si>
  <si>
    <t>El coordinador de visitas a los predios, al menos una vez al año a fin de comprobar el cumplimiento de de lo establecido en la licencia y corroborar la información entregada por el personal jurídico y agrónomo, programara una visita de control y seguimiento a un predio donde se hayase aprobado la licencia, la cual será llevada a cabo por un profesional en derecho y un profesional en ingeniería agrónoma. Cuando no sea posible ejecutar la visita programada, se reprogramaran para la próxima vigencia, así mismo se priorizaran las visitas si se reciben quejas o denuncias sobre el predio o el tramité. Evidencia: Acta de Visita</t>
  </si>
  <si>
    <t>Acceso a información privilegiada</t>
  </si>
  <si>
    <t>El centralizador cada vez que se va a realizar el estudio de una solicitud de tramité de licencia, a fin de restringir el acceso a los datos de los solicitantes, establecera los permisos al acceso de la información de la solicitud solamente para los profesionales designados para el estudio del tramité. Si existe modificación de las personas que tienen a cargo el estudio de la solicitud, se deberán actualizar de forma inmediata los permisos al acceso de la información. Evidencia: Registro de asignaciones</t>
  </si>
  <si>
    <t>Dilatación o entorpecimiento del proceso de licenciamiento u otorgamiento de cupos a fin de obtener un beneficio propio</t>
  </si>
  <si>
    <t>Investigaciones Disciplinarias
Sanciones 
Afectación de la imagen institucional</t>
  </si>
  <si>
    <t xml:space="preserve">Manipulación del proceso de certificado de carencia por parte de los profesionales que evaluan las solicitudes a fin de obtener un beneficio propio </t>
  </si>
  <si>
    <t>Manipulación indebida de la información</t>
  </si>
  <si>
    <t xml:space="preserve">Expedir el certificado de carencia a una persona con informes por tráfico de estupefacientes
Permitir el desvío de sustancias químicas controladas para la proudcción ílicita de drogas
</t>
  </si>
  <si>
    <t>Las personas designadas por el Grupo de Control de Sustancias Químicas para llevar a cabo los tramités de certificado de carencia, cada vez que se va a realizar el estudio de la solicitud, a fin de controlar el acceso a la información de las solicitudes, solicitarán el acceso a la información exclusivamente del proceso asignado. En el caso que una o más personas soliciten acceso a información que no corresponde al proceso asignado, las personas encargadas al interior de la subdirección del manejo de la correspondencia informarán del hecho al coordinador del grupo Control de Sustanciás Químicas - Control de Cannabis, según corresponda y este último tomará las medidas del caso. Evidencia: Solicitud por parte de la persona del grupo de Control de Sustancias Químicas para acceso a la información al grupo encargado del manejo de la correspondencia en la subdirección
Comunicación al coordinador del grupo en el caso de que una persona solicite acceso a una solicitud no asignada.</t>
  </si>
  <si>
    <t>Prebendas a los ingenieros quimicos</t>
  </si>
  <si>
    <t>Los miembros del Grupo de Control de Sustancias Químicas, cada vez que se reciba un requirimiento de un externo de datos de contacto de quien tiene a cargo el estudio del tramité de certificado de carencia, a fin de evitar el acceso del solicitante a los datos de las personas que realizan el estudio del tramité, responderán que no es posible dar esta información por ningún canal y que si requieren de alguna otra información relacionada con el tramité, esta se recibirá por los canales establecidos formalmente. En el caso que el solicitante del tramité reitere el requerimiento, se pondrá en conocimiento del subdirector este hecho para que se tomen las medidas del caso. Evidencia: Solicitud por parte del externo de los datos de quien tiene a cargo un estudio del tramité de certficado de carencia
Respuesta a la solicitud del requerimiento de la información
Comunicación al subdirector de la reiteración del requerimiento en el caso que se presente.</t>
  </si>
  <si>
    <t>Prebendas al personal juridico</t>
  </si>
  <si>
    <t>Prebendas al personal técnico</t>
  </si>
  <si>
    <t>El funcionario asignado aplica de forma incorrecta el proceso sancionatorio a fin de obtener un beneficio, favorecer a un tercero o a un centro</t>
  </si>
  <si>
    <t>Desconocimiento del procedimiento y/o de la normatividad asociada.</t>
  </si>
  <si>
    <t>Pérdida de la imagen institucional, afectación a los usuarios que acceden a los servicios del centro, investigaciones disciplinarias, sanciones.</t>
  </si>
  <si>
    <t>El coordinador del grupo de conciliación extrajudicial en derecho, arbitraje y amigable composición o el servidor designado por este, al menos una vez al año, a fin de fortalecer el conocimiento sobre el procedimiento y la normatividad asociada al proceso de inspección, control y vigilancia  y evitar interpretacciones erroneas en la aplicación, realizará una sensibilización o socialización a los miembros del grupo de conciliación extrajudicial en derecho, arbitraje y amigable composición. En caso de que al momento de realizar la sensibilización o socialización se presente una ausencia mayor o igual a la cuarta parte de los invitados, se deberá o reprogramar el mismo teniendo en cuenta la disponibilidad de los posibles asistentes o enviar a traves de correo electronico la presentación y material utilizado a fin de dar cobertura a la totalidad de las partes interesadas. Evidencia: Asistencia a la sensibilización/socialización.
Reprogramación de las sensibilizaciones/socializaciones cuando así se requiera
Envío de la presentación y material utilizado en la sensibilización/socialización</t>
  </si>
  <si>
    <t>Incorrecta interpretación de la normativa establecida</t>
  </si>
  <si>
    <t>Deficiencias en el proceso de revisión de la decisión de la sanción,</t>
  </si>
  <si>
    <t xml:space="preserve">El coordinador del grupo de conciliación extrajudicial en derecho, arbitraje y amigable composición, cada vez que se produzca una investigación con sanción, a fin de evitar una decisión errónea o que favorezca a alguna parte interesada incluyendo a quien proyecta la resolución, revisara el proyecto de resolución donde se encuentra consignada la decidición de la investigación con sanción. Si al momento de la revisión de la resolución, identifica alguna situación o información incosistente que pueda suponer un favorecimiento, se procederá a la revisión haciendo una consulta exhaustiva del expediente. Evidencia: Resolución con el visto bueno por parte del coordinador
Matriz de seguimiento a las resoluciones de investigación con sanción donde se incluya de elaboración, revisión y aprobación.
</t>
  </si>
  <si>
    <t>Uso indebido por parte de los conductores o de quienes tengan asignado vehículos  para fines diferentes a los establecidos beneficiando a un tercero o a sí mismos</t>
  </si>
  <si>
    <t>Inexistencia o fallas del control sobre los recorridos del vehículo</t>
  </si>
  <si>
    <t>Investigaciones Disciplinarias
Pérdida de Imagen Institucional
Sanciones</t>
  </si>
  <si>
    <t>El conductor, cada vez que se le asigna una tarea que implique la movilización del vehículo asignado, a fin de tener información actualizada de la ubicación del vehículo y la labor asignada al mismo, realizará el diligenciamiento de la Planilla Diaria Control de Recorridos. El día hábil siguiente al diligenciamiento se deberá entregar la planilla a la Coordinación del Grupo de Almacen, Inventarios y Transporte y en el caso que no suceda así se hará el respectivo requerimiento al conductor quien deberá justificar su incumplimiento. Evidencia: Planilla Diaria Control de Reccoridos diligenciada
Requerimiento en caso de incumplimiento de entrega
Justificación del incumplimiento por parte del conductor</t>
  </si>
  <si>
    <t>Desconocimiento u omisión de las normas establecidas para el uso del vehículo</t>
  </si>
  <si>
    <t>El grupo de Almacen, Inventarios y Transporte, al menos dos veces al año, a fin de fortalecer el conocimiento sobre los lineamientos y directrices de uso de los vehiculos oficiales, socializara el procedimiento Administración del Parque Automotor a todos los conductores vinculados al Ministerio, haciendo enfasis en que se puede y que no se puede hacer con los vehiculos oficiales. Si al momento de realizar la socialización del procedimiento se presenta una inasistencia de la tercera parte o más, este procedimiento se comunicará y publicará por otros medios logrando así la cobertura total a los conductores vinculados. Evidencia: Asistencia a la socialización
Envío del procedimiento o publicación del mismo para conocimiento de los conductores</t>
  </si>
  <si>
    <t>Posibilidad de efectuar un proceso de contratación aprovechando la información privilegiada para desviar los recursos públicos para beneficio propio o de un tercero</t>
  </si>
  <si>
    <t>Documentación  previa soporte de la contratación manipulada</t>
  </si>
  <si>
    <t>_Investigaciones disciplinarias, fiscales y penales
- Pérdida de Credibilidad
- Posibles demandas
- Requerimientos de Entes de Control</t>
  </si>
  <si>
    <t>"El Responsable del proceso de Gestión Contractual cada vez que se vaya a realizar la suscripción de un contrato a  fin de identificar posibles actos de manipulación de la documentación previa que soporta el proceso de contratación revisa esa  documentación, posterior a la revisión del profesional en derecho del grupo de gestión contractual si al momento de hacer la revisión se identifica documentación inconsistente o manipulación de la misma, se devolverá toda la documentación previa soporte a la dependencia que solicitó el proceso y además se requerirá la debida sustentación por escrito donde se detallen las causas de las modificaciones identificadas Evidencia: 
El VoBo del responsable del proceso de Gestión Contractual
Devolución a la dependencia mediante oficio
Respuesta de la dependencia al Oficio</t>
  </si>
  <si>
    <t>Pliego de condiciones manipulados para favorecer a un proveedor</t>
  </si>
  <si>
    <t xml:space="preserve">Indebida utilización de las causales de contratación directa
</t>
  </si>
  <si>
    <t>Seleccionar una inciativa que no cumpla con los requisitos aprovechando la concentración de la información a fin de que esta sea favorecida con recursos públicos permitiendo la recepción de un beneficio o beneficiando a un tercero</t>
  </si>
  <si>
    <t xml:space="preserve">Fallo en alguna de las etapas de revisión de requisitos </t>
  </si>
  <si>
    <t>_Investigaciones disciplinarias, fiscales 
- Pérdida de Credibilidad
- Posibles demandas o acciones judiciales
- Requerimientos de Entes de Control</t>
  </si>
  <si>
    <t>El equipo seleccionado del Grupo de Fortalecimiento a la Justicia étnica una vez el grupo culmina la revisión de los requisitos mínimos y  a fin de establecer si este ánalisis es correcto, realizará la revisión y validación aleatoria del 10% de las iniciativas, contrastando los requisitos vs la información diligenciada en una reunión grupal donde participan un numero impar de integrantes con voz y voto. Si en el momento de la revisión, se encuentra alguna inconsistencia en el diligenciamiento de la matriz se procede a realizar el ajuste y la decisión de mantener o no la iniciativa en el proceso. Evidencia: Grabación de la reunión si se realiza de forma virtual
Acta de reunión si esta se realiza de forma presencial. En ambas se concluirá sobre las iniciativas revisadas y validadas.</t>
  </si>
  <si>
    <t>El coordinador del Grupo de Fortalecimiento a la Justicia étnica después de la reunión con el equipo de validación de requisitos mínimos y antes de la publicación de la matriz de las propuestas, a fin de complementar el trabajo desarrollado por el equipo, realizará la revisión y validación aleatoria del 6% de las iniciativas adicionales a las ya reviasadas, contrastando los requisitos vs la información diligenciada. Si en el momento de la revisión, se encuentra alguna inconsistencia en el diligenciamiento de la matriz se procede a realizar el ajuste y la decisión de mantener o no la iniciativa en el proceso. Evidencia: Campo diligenciado de la revisión por parte de la coordinación de aquellas iniciativas seleccionadas con la respectiva decisión</t>
  </si>
  <si>
    <t>El Grupo de Fortalecimiento a la Justicia étnica cada vez que se reciba una solicitud de aclaración, información, queja, reclamo o sugerencia de la matriz de iniciativas publicada, a fin de determinar la validez o no de la solicitud y dar respuesta a la misma, realizará la revisión de la solicitud contrastando los requisitos vs la información diligenciada. Si en el momento de la revisión, se encuentra alguna inconsistencia en el diligenciamiento de la matriz se procede a realizar el ajuste y la decisión de mantener o no la iniciativa en el proceso, allegando copia de la misma al solicitante. Evidencia: Solicitud recibida
Respuesta a la solicitud</t>
  </si>
  <si>
    <t>Manipular la información laboral para favorecer el ingreso de personas a  la planta de personal o por el contrario manipularla para suscitar la salida de un funcionario</t>
  </si>
  <si>
    <t>Falta de control en la instancia de verificación de perfiles y requisitos</t>
  </si>
  <si>
    <t>Interno</t>
  </si>
  <si>
    <t>Pérdida de credibilidad institucional.
Investigaciones disciplinarias, penales y fiscales.</t>
  </si>
  <si>
    <t>probable</t>
  </si>
  <si>
    <t>El Coordinador del Grupo de Gestión Humana revisa la certificaciones laborales contra la información de la hoja de vida cada vez que estas sean allegadas al GGH. Como evidencia queda el registro de verificación y el visto bueno del documento</t>
  </si>
  <si>
    <t>Presiones internas o externas al funcionario que verifica los requistos con el fin de favorecer el ingreso o la salida de un funcionario</t>
  </si>
  <si>
    <t>Modificación de los requisitos para favorecer a un tercero</t>
  </si>
  <si>
    <t>El auxiliar del GGH Registra el prestamo y devolución de hojas de vida en formato destinado para esto, cada vez que se le solicite una hoja de vida para consulta y firma el funcionario solicitante entrega y devolución.como evidencia queda el registro de préstamo debidamente frmado</t>
  </si>
  <si>
    <t>Recibir presión de un tercero que busque modificar los requistosp ara benefcio presonal con la entrada o salida de un fncionario</t>
  </si>
  <si>
    <t>Presiones de un tercero</t>
  </si>
  <si>
    <t>Alterar o modificar los requisitos para que una persona qpuedaa acceder o desvincularse de un cargo para favorecer a un tercero</t>
  </si>
  <si>
    <t>Posibilidad de que se beneficie a un funcionario o un tercero a partir de la ejecución indebida de los recursoso públicos, en el marco de la gestión del talento humano</t>
  </si>
  <si>
    <t>Presiones internas o externas al funcionario que elabora la certificación.</t>
  </si>
  <si>
    <t>El Coordinador del Grupo de Gestión Humana revisa y aprueba las actividades a realizar en el marco del fortalecimiento de la gestión humana de acuerdo con el plan de gestión de talento humano, cada vez que se ejectue de acuuerdo con el programa. Como evidencia queda el registro de verificación y el visto bueno del documento. Si no revisa y aprueba el coordinador, puede ser aprobado por la Secretaria General</t>
  </si>
  <si>
    <t>Vulnerabilidad de los aplicativos en los cuales se generan las certificaciones (acceso a terceros).</t>
  </si>
  <si>
    <t>Los profesionales del Grupo de Gestión Humana llevarán registro de las actividades realizadas, adjuntando los soportes cuando se requieran,cada vez que se realice una actividad de fortalecimiento. Como evidencia quedan los listados de asistencia a las actividades y los soportes cuando se requiera.</t>
  </si>
  <si>
    <t>Falta de controles en los sistemas de generación de información que impidan su alteración.</t>
  </si>
  <si>
    <t>interna</t>
  </si>
  <si>
    <r>
      <t>ANTES DE DILIGENCIAR ESTA CASILLA DE CLICK EN LA HOJA :</t>
    </r>
    <r>
      <rPr>
        <b/>
        <sz val="10"/>
        <rFont val="Arial"/>
        <family val="2"/>
      </rPr>
      <t>Riesgo Corrupción</t>
    </r>
  </si>
  <si>
    <t>Herramienta de Riesgos de Seguridad Digital</t>
  </si>
  <si>
    <t>PLAN DE TRATAMIENTO</t>
  </si>
  <si>
    <t>ACTIVO</t>
  </si>
  <si>
    <t>PRINCIPIO DE SEGURIDAD DEL ACTIVO</t>
  </si>
  <si>
    <t>PRINCIPIO DE SEGURIDAD PARA EL RIESGO</t>
  </si>
  <si>
    <t>RIESGO</t>
  </si>
  <si>
    <t>AMENAZA</t>
  </si>
  <si>
    <t>PRINCIPIO DE SEGURIDAD DE LA VULNERABILIDAD</t>
  </si>
  <si>
    <t>VULNERABILIDAD / CAUSA</t>
  </si>
  <si>
    <t>CLASIFICACIÓN DE LA VULNERABILIDAD</t>
  </si>
  <si>
    <t>DOMINIO DEL CONTROL</t>
  </si>
  <si>
    <t>Vulnerabilidad a reducir</t>
  </si>
  <si>
    <t>¿Cuál es la naturaleza del control?</t>
  </si>
  <si>
    <t xml:space="preserve"> ¿Qué nivel de oficialidad tiene el control?</t>
  </si>
  <si>
    <t>¿El control es medible?</t>
  </si>
  <si>
    <t>¿Al momento de realizar las pruebas de recorrido el control ha demostrado ser?</t>
  </si>
  <si>
    <t>Total Ejecución de Control</t>
  </si>
  <si>
    <t>Meta</t>
  </si>
  <si>
    <t>Inicio</t>
  </si>
  <si>
    <t>Duración</t>
  </si>
  <si>
    <t>Acción si se materializa</t>
  </si>
  <si>
    <t>NO</t>
  </si>
  <si>
    <t>INCOMPLETA</t>
  </si>
  <si>
    <t>Principios de Seguridad</t>
  </si>
  <si>
    <t>AMENAZAS</t>
  </si>
  <si>
    <t>Confidencialidad</t>
  </si>
  <si>
    <t>Confidencialidad y disponibilidad</t>
  </si>
  <si>
    <t>Confidencialidad e integridad</t>
  </si>
  <si>
    <t>Confidencialidad, Integridad y Disponibilidad</t>
  </si>
  <si>
    <t>Disponibilidad</t>
  </si>
  <si>
    <t>Integridad y Disponibilidad</t>
  </si>
  <si>
    <t>Integridad</t>
  </si>
  <si>
    <t>Divulgación no autorizada</t>
  </si>
  <si>
    <t>Ataque malicioso (explosivos, químicos, vandalismo, hurto, radiación electromagnética, entre otros).</t>
  </si>
  <si>
    <t>Uso no autorizado de recursos (equipos de comunicación, medios de almacenamiento, sistemas de información, computadores)</t>
  </si>
  <si>
    <t xml:space="preserve">Acceso no autorizado (a oficinas, edificio, sala, centro de cómputo, sistema de información, documentación, información, entre otros). </t>
  </si>
  <si>
    <t>Cierre de operación de un proveedor o contratista crítico para la Entidad</t>
  </si>
  <si>
    <t>Ataques contra  el sistema (negación del servicio, manipulación de software, manipulación  de equipo informático entre otros)</t>
  </si>
  <si>
    <t>Daño físico (Daño por agua, polvo o corrosión)</t>
  </si>
  <si>
    <t>Falla o corrupción del software.</t>
  </si>
  <si>
    <t>Abuso de derechos (de usuario, administrador)</t>
  </si>
  <si>
    <t>Código malicioso (troyanos, gusanos, bomba lógica, entre otros)</t>
  </si>
  <si>
    <t xml:space="preserve">Contaminación, Pandemias, virus </t>
  </si>
  <si>
    <t>Destrucción de equipos o medios</t>
  </si>
  <si>
    <t>Falla técnica (Mal funcionamiento del equipo, Mal funcionamiento del software )</t>
  </si>
  <si>
    <t>Confidencialidad_integridad</t>
  </si>
  <si>
    <t>Hurto o robo (información, documentos, medios o equipos)</t>
  </si>
  <si>
    <t>Actos fraudulentos (suplantación, fraude,  venta de información, soborno, extorsión, falsificación de derechos, entre otros)</t>
  </si>
  <si>
    <t>Funcionarios (Acciones involuntarias y/o deliberadas)</t>
  </si>
  <si>
    <t>Daño físico (fuego, agua, humedad, contaminación química, construcción, entre otros)</t>
  </si>
  <si>
    <t>Deterioro del sistema o medio de almacenaje</t>
  </si>
  <si>
    <t>Acciones no autorizadas (Uso no autorizado del equipo, Corrupción de los datos, Abuso de derechos, Falsificación de derechos)</t>
  </si>
  <si>
    <t>Confidencialidad_disponibilidad</t>
  </si>
  <si>
    <t>Incumplimiento  de leyes o regulaciones (propiedad intelectual, entre otros)</t>
  </si>
  <si>
    <t>Espionaje (interceptación, ingeniería social)</t>
  </si>
  <si>
    <t>Déficit de personal</t>
  </si>
  <si>
    <t>Error en el uso (de equipos, medios, información, sistemas o servicios de información)</t>
  </si>
  <si>
    <t>Error en el uso</t>
  </si>
  <si>
    <t>Integridad_Disponibilidad</t>
  </si>
  <si>
    <t>Piratería</t>
  </si>
  <si>
    <t>Incumplimiento de políticas o procedimientos internos.</t>
  </si>
  <si>
    <t>Desastre natural (temblor, terremoto,  inundación, incendio, rayos, contaminación química entre otros)</t>
  </si>
  <si>
    <t>Errores de transmisión o almacenamiento</t>
  </si>
  <si>
    <t>Confidencialidad_Integridad_Disponibilidad</t>
  </si>
  <si>
    <t>Recuperación de medios reciclados o desechados</t>
  </si>
  <si>
    <t>Intrusión o acceso forzado (instalaciones, sistemas de información, información)</t>
  </si>
  <si>
    <t>Falla de la red interna</t>
  </si>
  <si>
    <t>Falla / degradación o mal funcionamiento del software o hardware</t>
  </si>
  <si>
    <t>Uso de software no licenciado o no autorizado</t>
  </si>
  <si>
    <t>Intruso externo (Ejemplo: Exempleados, delincuente informático,  competidores)</t>
  </si>
  <si>
    <t>Falla de suministro de servicios esenciales (agua, gas, aire acondicionado)</t>
  </si>
  <si>
    <t>Proveedor o contratista</t>
  </si>
  <si>
    <t>Falla en el suministro de energía  (pérdida suministro de energia,planta eléctrica, UPS, banco de baterías)</t>
  </si>
  <si>
    <t>Falla para respaldar la información.</t>
  </si>
  <si>
    <t>RIESGOS</t>
  </si>
  <si>
    <t>Falla sistema de comunicaciones (Internet, canales, Radio, entre otros).</t>
  </si>
  <si>
    <t>CONFIDENCIALIDAD_</t>
  </si>
  <si>
    <t>INTEGRIDAD_</t>
  </si>
  <si>
    <t>DISPONIBILIDAD_</t>
  </si>
  <si>
    <t>CONFIDENCIALIDAD_INTEGRIDAD_</t>
  </si>
  <si>
    <t>CONFIDENCIALIDAD_DISPONIBILIDAD_</t>
  </si>
  <si>
    <t>INTEGRIDAD_DISPONIBILIDAD_</t>
  </si>
  <si>
    <t>CONFIDENCIALIDAD_INTEGRIDAD_DISPONIBILIDAD_</t>
  </si>
  <si>
    <t>Fuego, agua, humedad, variaciones de temperatura/voltaje, radioactividad, polvo, gases, oxidación, campos electromagnéticos, entre otros.</t>
  </si>
  <si>
    <t>Fuga, revelación o divulgación de información sensible y/o confidencial</t>
  </si>
  <si>
    <t>Alteración, daño total o parcial de la información procesada y/o almacenada en… Información inexacta e incompleta.</t>
  </si>
  <si>
    <t>Interrupción total o parcial de los procesos del negocio por falla/daño/degradación de los equipos informáticos, equipos de comunicaciones (dispositivos de red, planta telefónica, servidores, UPS, entre otros), debido a cualquier evento o incidente</t>
  </si>
  <si>
    <t>Pérdida, alteración, acceso no autorizado, divulgación no autorizada y/o fuga de información  confidencial/sensible procesada y/o almacenada en…</t>
  </si>
  <si>
    <t>Destrucción, pérdida, extravío, robo, daño o alteración de información en medio físico o lógico.</t>
  </si>
  <si>
    <t>Pérdida de información debido a errores en la ejecución del procedimiento de backup, fallas en el software de backup.</t>
  </si>
  <si>
    <t>Incumplimiento contractual y/o sanciones.</t>
  </si>
  <si>
    <t xml:space="preserve">Incumplimiento en el mantenimiento </t>
  </si>
  <si>
    <t>Divulgación no autorizada o fuga de información por la pérdida/robo de equipos de cómputo o medios removibles en los que se almacena información confidencial/sensible en texto claro.</t>
  </si>
  <si>
    <t>Problemas, fallas o no disponibilidad de los servicios esenciales (internet, teléfonos, aire acondicionado, energía, agua, etc.)</t>
  </si>
  <si>
    <t>Actos vandálicos y/o terrorismo</t>
  </si>
  <si>
    <t>Incumplimiento en el servicio de mantenimiento</t>
  </si>
  <si>
    <t>Pérdida, robo, daño, alteración, divulgación no autorizada y/o fuga de información como consecuencia del acceso físico a las oficinas.</t>
  </si>
  <si>
    <t>Degradación del rendimiento de las aplicaciones o la red,  Retraso o interrupción de los sistemas de información y/o la información</t>
  </si>
  <si>
    <t>Hurto, fraude  o sabotaje de equipos, medios, información o documentos.</t>
  </si>
  <si>
    <t>Incumplimiento en los SLA´s</t>
  </si>
  <si>
    <t>Acción Industrial / Espionaje (infiltración canales de comunicación, servicios de información, servicios informáticos)</t>
  </si>
  <si>
    <t>Pérdida de información (contenida en documentación física o digital)</t>
  </si>
  <si>
    <t>VULNERABILIDADES</t>
  </si>
  <si>
    <t>Saturación del sistema de información</t>
  </si>
  <si>
    <t>CONFIDENCIALIDAD.</t>
  </si>
  <si>
    <t>INTEGRIDAD.</t>
  </si>
  <si>
    <t>DISPONIBILIDAD.</t>
  </si>
  <si>
    <t>CONFIDENCIALIDAD_INTEGRIDAD.</t>
  </si>
  <si>
    <t>CONFIDENCIALIDAD_DISPONIBILIDAD.</t>
  </si>
  <si>
    <t>INTEGRIDAD_DISPONIBILIDAD.</t>
  </si>
  <si>
    <t>CONFIDENCIALIDAD_INTEGRIDAD_DISPONIBILIDAD.</t>
  </si>
  <si>
    <t>Ausencia de procedimiento formal para la autorización de la información disponible al público.</t>
  </si>
  <si>
    <t>Ausencia o insuficiencia de actualizaciones.</t>
  </si>
  <si>
    <t>Ausencia de esquemas de respaldo.</t>
  </si>
  <si>
    <t>Acceso no controlado a información sensible / confidencial.</t>
  </si>
  <si>
    <t>Hurto, fraude o sabotaje de equipos, medios, información o documentos.</t>
  </si>
  <si>
    <t>Ausencia de procedimiento de control de cambios.</t>
  </si>
  <si>
    <t>Almacenamiento de equipos sin protección.</t>
  </si>
  <si>
    <t>Ausencia o insuficiencia de cláusulas contractuales y/o acuerdos de confidencialidad.</t>
  </si>
  <si>
    <t>Documentación insuficiente o desactualizada.</t>
  </si>
  <si>
    <t>Ausencia de planes de continuidad.</t>
  </si>
  <si>
    <t>Acceso o uso no controlado del sistema de información (software, aplicativo).</t>
  </si>
  <si>
    <t>Ausencia o insuficiencia de control de cambios en la configuración.</t>
  </si>
  <si>
    <t>Almacenamiento de información sin protección</t>
  </si>
  <si>
    <t>Ausencia o insuficiencia de disposiciones (con respecto a la seguridad) en los contratos con los empleados y/o terceras partes.</t>
  </si>
  <si>
    <t>Especificaciones o requerimientos incompletos, inadecuados o no claros.</t>
  </si>
  <si>
    <t>Ausencia de responsables sobre la gestión en seguridad de la información y/o continuidad de negocio.</t>
  </si>
  <si>
    <t>Acceso o uso no controlado.</t>
  </si>
  <si>
    <t>Ausencia o insuficiencia de procedimientos de monitoreo de los recursos de procesamiento de información.</t>
  </si>
  <si>
    <t>Arquitectura insegura de la red.</t>
  </si>
  <si>
    <t>Relojes no sincronizados.</t>
  </si>
  <si>
    <t>Ausencia o insuficiencia de controles de monitoreo de las instalaciones (por ej. detección o extinción de incendios, líquidos inflamables, CCTV, entre otros).</t>
  </si>
  <si>
    <t>Ausencia de logs o registros de auditoría.</t>
  </si>
  <si>
    <t>Dependencia de personal clave, ausentismo y/o personal insuficiente.</t>
  </si>
  <si>
    <t>Ausencia de "terminación/bloqueo de la sesión" cuando se abandona la estación de trabajo.</t>
  </si>
  <si>
    <t>Ausencia o insuficiencia de procedimientos para el manejo información clasificada.</t>
  </si>
  <si>
    <t>Testeo inadecuado o insuficiente</t>
  </si>
  <si>
    <t>Ausencia o insuficiencia de copias de respaldo.</t>
  </si>
  <si>
    <t>Ausencia de mecanismos de monitoreo a la actividad de los empleados y/o terceros.</t>
  </si>
  <si>
    <t>Incumplimiento de las condiciones técnicas y/o ambientales provistas por el fabricante.</t>
  </si>
  <si>
    <t>Ausencia de control de los activos que se encuentran fuera de la instalaciones.</t>
  </si>
  <si>
    <t>Ausencia o insuficiencia de un procedimiento para el manejo de comunicaciones externas.</t>
  </si>
  <si>
    <t>Ausencia o insuficiencia de mantenimiento.</t>
  </si>
  <si>
    <t>Ausencia de segmentación de la red.</t>
  </si>
  <si>
    <t>Insuficiente entrenamiento, capacitación o sensibilización.</t>
  </si>
  <si>
    <t>Ausencia de controles y verificaciones en los procesos de selección y contratación de personal.</t>
  </si>
  <si>
    <t>Ausencia o insuficiencia de un proceso para clasificar y etiquetar la información.</t>
  </si>
  <si>
    <t>Ausencia o insuficiencia de mecanismos de monitoreo de Red, gestión de la capacidad y disponibilidad.</t>
  </si>
  <si>
    <t>Ausencia o insuficiencia de contratos, acuerdos de nivel de servicio y/o confidencialidad con empleados o terceros.</t>
  </si>
  <si>
    <t>Ausencia de sistemas y/o procedimientos de monitoreo de los recursos de procesamiento de información.</t>
  </si>
  <si>
    <t>Ausencia o insuficiencia en el control de los activos que se encuentran fuera de la instalaciones.</t>
  </si>
  <si>
    <t>Ausencia o insuficiencia de planes de emergencia y simulacros de evacuación.</t>
  </si>
  <si>
    <t>Ausencia o insuficiencia de contratos, acuerdos de niveles de servicio y/o confidencialidad.</t>
  </si>
  <si>
    <t>Ausencia o insuficiencia de controles de acceso a las instalaciones.</t>
  </si>
  <si>
    <t>Canales de comunicación sin encripción.</t>
  </si>
  <si>
    <t>Capacidad inadecuada.</t>
  </si>
  <si>
    <t>Ausencia o insuficiencia de mecanismos de identificación y autenticación.</t>
  </si>
  <si>
    <t>Ausencia o insuficiencia de documentación de uso y/o administración.</t>
  </si>
  <si>
    <t>Desconocimiento, malinterpretación o no cumplimiento de las disposiciones legales, contractuales y/o regulatorias aplicables.</t>
  </si>
  <si>
    <t>Conexión deficiente y/o desorganización del cableado estructurado / eléctrico.</t>
  </si>
  <si>
    <t>Ausencia o insuficiencia de perfiles de acceso o falta de gestión de privilegios de acceso.</t>
  </si>
  <si>
    <t>Ausencia o insuficiencia de políticas, procedimientos y directrices de seguridad.</t>
  </si>
  <si>
    <t>Disposición / Eliminación /reutilización de equipos sin borrado seguro.</t>
  </si>
  <si>
    <t>Falla en los servicios esenciales (internet, teléfonos, aire acondicionado, energía, agua, etc.).</t>
  </si>
  <si>
    <t>Ausencia o insuficiencia en la gestión de usuarios y contraseñas.</t>
  </si>
  <si>
    <t>Ausencia o insuficiencia de procesos disciplinarios definidos en el caso de incidente de seguridad de la información.</t>
  </si>
  <si>
    <t>Disposición/reutilización de medios de almacenamiento sin borrado seguro.</t>
  </si>
  <si>
    <t>Falla, daño o degradación de equipos.</t>
  </si>
  <si>
    <t>Configuración incorrecta de parámetros o configuraciones por defecto.</t>
  </si>
  <si>
    <t>Ausencia o insuficiencia de un proceso de análisis y tratamiento de riesgos.</t>
  </si>
  <si>
    <t>Transferencia y/o almacenamiento de información en texto claro.</t>
  </si>
  <si>
    <t>Proveedor o contratista único en el mercado.</t>
  </si>
  <si>
    <t>Falta de segregación de funciones o incorrecta aplicación de las mismas.</t>
  </si>
  <si>
    <t>Ausencia o insuficiencia de un proceso de gestión de incidentes de seguridad.</t>
  </si>
  <si>
    <t>Ubicación geográfica de las instalaciones en una zona de alto impacto por eventos externos (desastres naturales, orden público, entre otros).</t>
  </si>
  <si>
    <t>Ausencia o insuficiencia en la definición y formalización de roles, funciones y responsabilidades en la seguridad de la información.</t>
  </si>
  <si>
    <t>Dependencia de proveedores.</t>
  </si>
  <si>
    <t>Descarga y/o uso no controlado de software.</t>
  </si>
  <si>
    <t>Fallas conocidas o defectos del software.</t>
  </si>
  <si>
    <t>Falta de protección contra virus y/o código malicioso</t>
  </si>
  <si>
    <t>Personal inconforme o molesto.</t>
  </si>
  <si>
    <t>Puertos o servicios activos no requeridos.</t>
  </si>
  <si>
    <t>Uso de Software ilegal / No autorizado / Software Malicioso.</t>
  </si>
  <si>
    <t>_5._POLÍTICAS_DE_SEGURIDAD.</t>
  </si>
  <si>
    <t>_6._ASPECTOS_ORGANIZATIVOS_DE_LA_SEGURIDAD_DE_LA_INFORMAC.</t>
  </si>
  <si>
    <t>_7._SEGURIDAD_LIGADA_A_LOS_RECURSOS_HUMANOS.</t>
  </si>
  <si>
    <t>_8._GESTIÓN_DE_ACTIVOS.</t>
  </si>
  <si>
    <t>_9._CONTROL_DE_ACCESOS.</t>
  </si>
  <si>
    <t>_10._CIFRADO.</t>
  </si>
  <si>
    <t>_11._SEGURIDAD_FÍSICA_Y_AMBIENTAL.</t>
  </si>
  <si>
    <t>_12._SEGURIDAD_EN_LA_OPERATIVA.</t>
  </si>
  <si>
    <t>_13._SEGURIDAD_EN_LAS_TELECOMUNICACIONES.</t>
  </si>
  <si>
    <t>_14._ADQUISICIÓN__DESARROLLO_Y_MANTENIMIENTO_DE_LOS_SISTEMAS_DE_INFORMACIÓN.</t>
  </si>
  <si>
    <t>_15._RELACIONES_CON_SUMINISTRADORES.</t>
  </si>
  <si>
    <t>_16._GESTIÓN_DE_INCIDENTES_EN_LA_SEGURIDAD_DE_LA_INFORMACIÓN.</t>
  </si>
  <si>
    <t>_17._ASPECTOS_DE_SEGURIDAD_DE_LA_INFORMACION_EN_LA_GESTIÓN_DE_LA_CONTINUIDAD_DEL_NEGOCIO.</t>
  </si>
  <si>
    <t>_18._CUMPLIMIENTO.</t>
  </si>
  <si>
    <t xml:space="preserve">5.1.1 Conjunto de políticas para la seguridad de la información. </t>
  </si>
  <si>
    <t xml:space="preserve">6.1.1 Asignación de responsabilidades para la segur. de la información. </t>
  </si>
  <si>
    <t xml:space="preserve">7.1.1 Investigación de antecedentes. </t>
  </si>
  <si>
    <t xml:space="preserve">8.1.1 Inventario de activos. </t>
  </si>
  <si>
    <t xml:space="preserve">9.1.1 Política de control de accesos. </t>
  </si>
  <si>
    <t xml:space="preserve">10.1.1 Política de uso de los controles criptográficos. </t>
  </si>
  <si>
    <t xml:space="preserve">11.1.1 Perímetro de seguridad física. </t>
  </si>
  <si>
    <t xml:space="preserve">12.1.1 Documentación de procedimientos de operación. </t>
  </si>
  <si>
    <t xml:space="preserve">13.1.1 Controles de red. </t>
  </si>
  <si>
    <t xml:space="preserve">14.1.1 Análisis y especificación de los requisitos de seguridad. </t>
  </si>
  <si>
    <t xml:space="preserve">15.1.1 Política de seguridad de la información para suministradores. </t>
  </si>
  <si>
    <t xml:space="preserve">16.1.1 Responsabilidades y procedimientos. </t>
  </si>
  <si>
    <t xml:space="preserve">17.1.1 Planificación de la continuidad de la seguridad de la información. </t>
  </si>
  <si>
    <t xml:space="preserve">18.1.1 Identificación de la legislación aplicable. </t>
  </si>
  <si>
    <t xml:space="preserve">5.1.2 Revisión de las políticas para la seguridad de la información. </t>
  </si>
  <si>
    <t xml:space="preserve">6.1.2 Segregación de tareas. </t>
  </si>
  <si>
    <t xml:space="preserve">7.1.2 Términos y condiciones de contratación. </t>
  </si>
  <si>
    <t xml:space="preserve">8.1.2 Propiedad de los activos. </t>
  </si>
  <si>
    <t xml:space="preserve">9.1.2 Control de acceso a las redes y servicios asociados. </t>
  </si>
  <si>
    <t xml:space="preserve">10.1.2 Gestión de claves. </t>
  </si>
  <si>
    <t xml:space="preserve">11.1.2 Controles físicos de entrada. </t>
  </si>
  <si>
    <t xml:space="preserve">12.1.2 Gestión de cambios. </t>
  </si>
  <si>
    <t xml:space="preserve">13.1.2 Mecanismos de seguridad asociados a servicios en red. </t>
  </si>
  <si>
    <t xml:space="preserve">14.1.2 Seguridad de las comunicaciones en servicios accesibles por redes públicas. </t>
  </si>
  <si>
    <t xml:space="preserve">15.1.2 Tratamiento del riesgo dentro de acuerdos de suministradores. </t>
  </si>
  <si>
    <t xml:space="preserve">16.1.2 Notificación de los eventos de seguridad de la información. </t>
  </si>
  <si>
    <t xml:space="preserve">17.1.2 Implantación de la continuidad de la seguridad de la información. </t>
  </si>
  <si>
    <t xml:space="preserve">18.1.2 Derechos de propiedad intelectual (DPI). </t>
  </si>
  <si>
    <t xml:space="preserve">6.1.3 Contacto con las autoridades. </t>
  </si>
  <si>
    <t xml:space="preserve">7.2.1 Responsabilidades de gestión. </t>
  </si>
  <si>
    <t xml:space="preserve">8.1.3 Uso aceptable de los activos. </t>
  </si>
  <si>
    <t>9.2.1 Gestión de altas/bajas en el registro de usuarios.</t>
  </si>
  <si>
    <t xml:space="preserve">11.1.3 Seguridad de oficinas, despachos y recursos. </t>
  </si>
  <si>
    <t xml:space="preserve">12.1.3 Gestión de capacidades. </t>
  </si>
  <si>
    <t xml:space="preserve">13.1.3 Segregación de redes. </t>
  </si>
  <si>
    <t xml:space="preserve">14.1.3 Protección de las transacciones por redes telemáticas. </t>
  </si>
  <si>
    <t xml:space="preserve">15.1.3 Cadena de suministro en tecnologías de la información y comunicaciones. </t>
  </si>
  <si>
    <t xml:space="preserve">16.1.3 Notificación de puntos débiles de la seguridad. </t>
  </si>
  <si>
    <t>17.1.3 Verificación, revisión y evaluación de la continuidad de la seguridad de la información.</t>
  </si>
  <si>
    <t xml:space="preserve">18.1.3 Protección de los registros de la organización. </t>
  </si>
  <si>
    <t xml:space="preserve">6.1.4 Contacto con grupos de interés especial. </t>
  </si>
  <si>
    <t xml:space="preserve">7.2.2 Concienciación, educación y capacitación en segur. de la informac. </t>
  </si>
  <si>
    <t xml:space="preserve">8.2.1 Directrices de clasificación. </t>
  </si>
  <si>
    <t xml:space="preserve"> 9.2.2 Gestión de los derechos de acceso asignados a usuarios. </t>
  </si>
  <si>
    <t xml:space="preserve">11.1.4 Protección contra las amenazas externas y ambientales. </t>
  </si>
  <si>
    <t xml:space="preserve">12.1.4 Separación de entornos de desarrollo, prueba y producción. </t>
  </si>
  <si>
    <t xml:space="preserve">13.2.1 Políticas y procedimientos de intercambio de información. </t>
  </si>
  <si>
    <t xml:space="preserve">14.2.1 Política de desarrollo seguro de software. </t>
  </si>
  <si>
    <t xml:space="preserve">15.2.1 Supervisión y revisión de los servicios prestados por terceros. </t>
  </si>
  <si>
    <t xml:space="preserve">16.1.4 Valoración de eventos de seguridad de la información y toma de decisiones. </t>
  </si>
  <si>
    <t xml:space="preserve">17.2.1 Disponibilidad de instalaciones para el procesamiento de la información. </t>
  </si>
  <si>
    <t xml:space="preserve">18.1.4 Protección de datos y privacidad de la información personal. </t>
  </si>
  <si>
    <t xml:space="preserve">6.1.5 Seguridad de la información en la gestión de proyectos. </t>
  </si>
  <si>
    <t xml:space="preserve">7.2.3 Proceso disciplinario. </t>
  </si>
  <si>
    <t xml:space="preserve">8.2.2 Etiquetado y manipulado de la información. </t>
  </si>
  <si>
    <t xml:space="preserve">9.2.3 Gestión de los derechos de acceso con privilegios especiales. </t>
  </si>
  <si>
    <t xml:space="preserve">11.1.5 El trabajo en áreas seguras. </t>
  </si>
  <si>
    <t xml:space="preserve">12.2.1 Controles contra el código malicioso. </t>
  </si>
  <si>
    <t xml:space="preserve">13.2.2 Acuerdos de intercambio. </t>
  </si>
  <si>
    <t xml:space="preserve">14.2.2 Procedimientos de control de cambios en los sistemas. </t>
  </si>
  <si>
    <t xml:space="preserve">15.2.2 Gestión de cambios en los servicios prestados por terceros. </t>
  </si>
  <si>
    <t xml:space="preserve">16.1.5 Respuesta a los incidentes de seguridad. </t>
  </si>
  <si>
    <t xml:space="preserve">18.1.5 Regulación de los controles criptográficos. </t>
  </si>
  <si>
    <t xml:space="preserve">6.2.1 Política de uso de dispositivos para movilidad. </t>
  </si>
  <si>
    <t xml:space="preserve">7.3.1 Cese o cambio de puesto de trabajo. </t>
  </si>
  <si>
    <t xml:space="preserve">8.2.3 Manipulación de activos. </t>
  </si>
  <si>
    <t xml:space="preserve">9.2.4 Gestión de información confidencial de autenticación de usuarios.   </t>
  </si>
  <si>
    <t xml:space="preserve">11.1.6 Áreas de acceso público, carga y descarga. </t>
  </si>
  <si>
    <t xml:space="preserve">12.3.1 Copias de seguridad de la información. </t>
  </si>
  <si>
    <t xml:space="preserve">13.2.3 Mensajería electrónica. </t>
  </si>
  <si>
    <t xml:space="preserve">14.2.3 Revisión técnica de las aplicaciones tras efectuar cambios en el sistema operativo. </t>
  </si>
  <si>
    <t xml:space="preserve">16.1.6 Aprendizaje de los incidentes de seguridad de la información. </t>
  </si>
  <si>
    <t xml:space="preserve">18.2.1 Revisión independiente de la seguridad de la información. </t>
  </si>
  <si>
    <t xml:space="preserve">6.2.2 Teletrabajo. </t>
  </si>
  <si>
    <t xml:space="preserve">8.3.1 Gestión de soportes extraíbles. </t>
  </si>
  <si>
    <t xml:space="preserve">9.2.5 Revisión de los derechos de acceso de los usuarios. </t>
  </si>
  <si>
    <t xml:space="preserve">11.2.1 Emplazamiento y protección de equipos. </t>
  </si>
  <si>
    <t xml:space="preserve">12.4.1 Registro y gestión de eventos de actividad. </t>
  </si>
  <si>
    <t xml:space="preserve">13.2.4 Acuerdos de confidencialidad y secreto. </t>
  </si>
  <si>
    <t xml:space="preserve">14.2.4 Restricciones a los cambios en los paquetes de software. </t>
  </si>
  <si>
    <t xml:space="preserve">16.1.7 Recopilación de evidencias. </t>
  </si>
  <si>
    <t xml:space="preserve">18.2.2 Cumplimiento de las políticas y normas de seguridad. </t>
  </si>
  <si>
    <t xml:space="preserve">8.3.2 Eliminación de soportes. </t>
  </si>
  <si>
    <t xml:space="preserve">9.2.6 Retirada o adaptación de los derechos de acceso </t>
  </si>
  <si>
    <t xml:space="preserve">11.2.2 Instalaciones de suministro. </t>
  </si>
  <si>
    <t xml:space="preserve">12.4.2 Protección de los registros de información. </t>
  </si>
  <si>
    <t xml:space="preserve">14.2.5 Uso de principios de ingeniería en protección de sistemas. </t>
  </si>
  <si>
    <t>18.2.3 Comprobación del cumplimiento.</t>
  </si>
  <si>
    <t xml:space="preserve">8.3.3 Soportes físicos en tránsito. </t>
  </si>
  <si>
    <t xml:space="preserve">9.3.1 Uso de información confidencial para la autenticación. </t>
  </si>
  <si>
    <t xml:space="preserve">11.2.3 Seguridad del cableado. </t>
  </si>
  <si>
    <t xml:space="preserve">12.4.3 Registros de actividad del administrador y operador del sistema. </t>
  </si>
  <si>
    <t xml:space="preserve">14.2.6 Seguridad en entornos de desarrollo. </t>
  </si>
  <si>
    <t xml:space="preserve">9.4.1 Restricción del acceso a la información. </t>
  </si>
  <si>
    <t xml:space="preserve">11.2.4 Mantenimiento de los equipos. </t>
  </si>
  <si>
    <t xml:space="preserve">12.4.4 Sincronización de relojes. </t>
  </si>
  <si>
    <t xml:space="preserve">14.2.7 Externalización del desarrollo de software. </t>
  </si>
  <si>
    <t xml:space="preserve">9.4.2 Procedimientos seguros de inicio de sesión. </t>
  </si>
  <si>
    <t xml:space="preserve">11.2.5 Salida de activos fuera de las dependencias de la empresa. </t>
  </si>
  <si>
    <t xml:space="preserve">12.5.1 Instalación del software en sistemas en producción. </t>
  </si>
  <si>
    <t xml:space="preserve">14.2.8 Pruebas de funcionalidad durante el desarrollo de los sistemas. </t>
  </si>
  <si>
    <t xml:space="preserve">9.4.3 Gestión de contraseñas de usuario. </t>
  </si>
  <si>
    <t xml:space="preserve">11.2.6 Seguridad de los equipos y activos fuera de las instalaciones. </t>
  </si>
  <si>
    <t xml:space="preserve">12.6.1 Gestión de las vulnerabilidades técnicas. </t>
  </si>
  <si>
    <t>14.2.9 Pruebas de aceptación.</t>
  </si>
  <si>
    <t xml:space="preserve">9.4.4 Uso de herramientas de administración de sistemas.   </t>
  </si>
  <si>
    <t xml:space="preserve">11.2.7 Reutilización o retirada segura de dispositivos de almacenamiento. </t>
  </si>
  <si>
    <t xml:space="preserve">12.6.2 Restricciones en la instalación de software. </t>
  </si>
  <si>
    <t xml:space="preserve">14.3.1 Protección de los datos utilizados en pruebas. </t>
  </si>
  <si>
    <t xml:space="preserve">9.4.5 Control de acceso al código fuente de los programas. </t>
  </si>
  <si>
    <t xml:space="preserve">11.2.8 Equipo informático de usuario desatendido. </t>
  </si>
  <si>
    <t xml:space="preserve">12.7.1 Controles de auditoría de los sistemas de información. </t>
  </si>
  <si>
    <t xml:space="preserve">11.2.9 Política de puesto de trabajo despejado y bloqueo de pantalla. </t>
  </si>
  <si>
    <t>Naturaleza del control</t>
  </si>
  <si>
    <t>Oficialidad</t>
  </si>
  <si>
    <t>Medible</t>
  </si>
  <si>
    <t>Pruebas de recorrido</t>
  </si>
  <si>
    <t>Automático</t>
  </si>
  <si>
    <t>Aprobado y divulgado</t>
  </si>
  <si>
    <t>Si y las métricas se tienen en cuenta en los indicadores</t>
  </si>
  <si>
    <t>Altamente efectivo</t>
  </si>
  <si>
    <t>Semiautomático</t>
  </si>
  <si>
    <t>Aprobado no divulgado</t>
  </si>
  <si>
    <t>Se mide periódicamente o por demanda y se lleva un registro</t>
  </si>
  <si>
    <t>Medianamente efectivo</t>
  </si>
  <si>
    <t>Manual</t>
  </si>
  <si>
    <t>Documentado</t>
  </si>
  <si>
    <t>Se mide periódicamente o por demandapero no se lleva un registro</t>
  </si>
  <si>
    <t>Poco efectivo</t>
  </si>
  <si>
    <t>No documentado</t>
  </si>
  <si>
    <t>No se mide</t>
  </si>
  <si>
    <t>No se realizaron pruebas</t>
  </si>
  <si>
    <t>No Aplica</t>
  </si>
  <si>
    <t>NA</t>
  </si>
  <si>
    <t xml:space="preserve"> </t>
  </si>
  <si>
    <t>Criterios para calificar la probabilidad</t>
  </si>
  <si>
    <t>Nivel</t>
  </si>
  <si>
    <t>Descripción</t>
  </si>
  <si>
    <t>Frecuencia</t>
  </si>
  <si>
    <t>El evento se presenta en la mayoria de circunstancias</t>
  </si>
  <si>
    <t>Se ha presentado al menos una vez en el último mes</t>
  </si>
  <si>
    <t>Se presentan eventos de manera frecuente</t>
  </si>
  <si>
    <t>Se ha presentado al menos una vez  en los últimos dos meses</t>
  </si>
  <si>
    <t>Se presentan eventos ocasionalmente</t>
  </si>
  <si>
    <t>Se ha presentado al menos dos veces en el último año</t>
  </si>
  <si>
    <t>El evento no es probable que ocurra</t>
  </si>
  <si>
    <t>Se ha presentado al menos una vez  una vez en el último año</t>
  </si>
  <si>
    <t>Rara vez</t>
  </si>
  <si>
    <t>El evento solo puede ocurrir en circunstancias excepcionales</t>
  </si>
  <si>
    <t>No se ha presentado en el ultimo año</t>
  </si>
  <si>
    <t>Recuerde que el Riesgo de CORRUPCIÓN debe contar con los cuatro elementos descritos a continuación, para cada riesgo que ud describa, identifique claramente si esta presente cada elemento colocando una X</t>
  </si>
  <si>
    <t>Acción u omisión</t>
  </si>
  <si>
    <t>Uso del poder</t>
  </si>
  <si>
    <t>Desviar la gestión de lo público</t>
  </si>
  <si>
    <t>Beneficio privado</t>
  </si>
  <si>
    <t>Seleccionar una inciativa que no cumpla con los requisitos</t>
  </si>
  <si>
    <t xml:space="preserve">aprovechando la concentración de la información </t>
  </si>
  <si>
    <t>a fin de que esta sea favorecida con recursos públicos</t>
  </si>
  <si>
    <t>y recibiendo un beneficio o beneficiando a un tercero</t>
  </si>
  <si>
    <t>Registro</t>
  </si>
  <si>
    <t>Articulación Interinstitucional</t>
  </si>
  <si>
    <t>Riesgo de Corrupción</t>
  </si>
  <si>
    <t>Baja</t>
  </si>
  <si>
    <t>Estapa Judicial (Gestión de Restitución Ley 1448)</t>
  </si>
  <si>
    <t>Articulación para el Cumplimiento de las Órdenes</t>
  </si>
  <si>
    <t>Medidas de Prevención</t>
  </si>
  <si>
    <t>Atención al Ciudadano</t>
  </si>
  <si>
    <t>Caracterizaciones y Registro</t>
  </si>
  <si>
    <t>Estapa Judicial (Gestión de Restitución de Derechos Étnicos Territoriales)</t>
  </si>
  <si>
    <t>Cumplimiento Órdenes URT</t>
  </si>
  <si>
    <t>Planeación Estratégica</t>
  </si>
  <si>
    <t>Evaluación Sistema de Control Interno</t>
  </si>
  <si>
    <t>Gestión de Comunicaciones</t>
  </si>
  <si>
    <t>Prevención y Gestión de Seguridad</t>
  </si>
  <si>
    <t>Gestión del Conocimiento e Información</t>
  </si>
  <si>
    <t>Mejoramiento Continuo</t>
  </si>
  <si>
    <t>Gestión Logística y de Rec. Físicos</t>
  </si>
  <si>
    <t>Gestión Talento Humano</t>
  </si>
  <si>
    <t>Gestión TIC</t>
  </si>
  <si>
    <t>PASOS</t>
  </si>
  <si>
    <t>Componente</t>
  </si>
  <si>
    <t>Ejemplo</t>
  </si>
  <si>
    <t>Paso 1</t>
  </si>
  <si>
    <t>Responsable de llevar a cabo el Control</t>
  </si>
  <si>
    <t>Paso 2</t>
  </si>
  <si>
    <t>Periodicidad definida para su
ejecución.</t>
  </si>
  <si>
    <t>Paso 3</t>
  </si>
  <si>
    <t>Indicar cuál es el propósito del control</t>
  </si>
  <si>
    <t>Paso 4</t>
  </si>
  <si>
    <t>Establecer el cómo se realiza la actividad de control.</t>
  </si>
  <si>
    <t>Paso 5</t>
  </si>
  <si>
    <t>Indicar qué pasa con las observaciones o desviaciones resultantes de ejecutar el control</t>
  </si>
  <si>
    <t>Paso 6</t>
  </si>
  <si>
    <t>Evidencia de la ejecución del control</t>
  </si>
  <si>
    <t>Paso 7</t>
  </si>
  <si>
    <t>Está en el procedimiento</t>
  </si>
  <si>
    <t>Paso 8</t>
  </si>
  <si>
    <t>Si su respuesta es afirmativa, ¿en cuál procedimiento?</t>
  </si>
  <si>
    <t>Manejo de Bienes y Servicios</t>
  </si>
  <si>
    <t>Paso 9</t>
  </si>
  <si>
    <t>Si su respuesta es negativa, ¿en dónde esta documentado el control? Política - Manual - Guía</t>
  </si>
  <si>
    <t>-</t>
  </si>
  <si>
    <t>Control completo</t>
  </si>
  <si>
    <t>PROBABILIDAD DE OCURRENCIA</t>
  </si>
  <si>
    <t>CASI SEGURO
(5)</t>
  </si>
  <si>
    <t>PROBABLE
(4)</t>
  </si>
  <si>
    <t>POSIBLE
(3)</t>
  </si>
  <si>
    <t>IMPROBABLE
(2)</t>
  </si>
  <si>
    <t>RARO VEZ
(1)</t>
  </si>
  <si>
    <t>INSIGNIFICANTE (1)</t>
  </si>
  <si>
    <t>MENOR
(2)</t>
  </si>
  <si>
    <t>MODERADO 
(3)</t>
  </si>
  <si>
    <t>MAYOR 
(4)</t>
  </si>
  <si>
    <t>CATASTRÓFICO
(5)</t>
  </si>
  <si>
    <t>Extrema</t>
  </si>
  <si>
    <t>E</t>
  </si>
  <si>
    <t>EXTREMA</t>
  </si>
  <si>
    <t>A</t>
  </si>
  <si>
    <t>ALTA</t>
  </si>
  <si>
    <t>M</t>
  </si>
  <si>
    <t>MODERADA</t>
  </si>
  <si>
    <t>B</t>
  </si>
  <si>
    <t>BAJA</t>
  </si>
  <si>
    <t>B: Zona de riesgo Baja: Asumir el riesgo   -   M: Zona de riesgo Moderada: Asumir el riesgo, Reducir el riesgo
A: Zona de riesgo Alta: Reducir el riesgo, Evitar, Compartir o Transferir    -     E: Zona de riesgo Extrema: Reducir el riesgo, Evitar, Compartir o Transferir</t>
  </si>
  <si>
    <t xml:space="preserve">Tomado de la “Guía para la administración del riesgo y el diseño de controles en entidades públicas” Versión 04 de Oct de 2018 </t>
  </si>
  <si>
    <t>Falta de ética de los funcionarios que realizan la investigación y toman decisiones</t>
  </si>
  <si>
    <t>Investigaciones disciplinarias y penales
Pérdida de imagen del grupo de Control Disciplinario Interno
Revocatoria de las decisiones
Sentencias contensiosas en contra de la entidad</t>
  </si>
  <si>
    <t>Ofrecimiento de beneficios por parte del investigado</t>
  </si>
  <si>
    <t>Decisiones en materia disciplinaria ajustadas a intereses particulares</t>
  </si>
  <si>
    <t>El Coordinador del Grupo de Control Disciplinario Interno</t>
  </si>
  <si>
    <t>cada vez que suscribe las actuaciones.</t>
  </si>
  <si>
    <t>revisa las decisiones tomadas sobre los trámites o procesos de competencia del Grupo,</t>
  </si>
  <si>
    <t>a partir del conocimiento del mismo, lo establecido en el régimen disciplinario vigente y la reunión con el abogado que lleva el proceso para conocer los detalles y detrminar la pertinencia de la actuación.</t>
  </si>
  <si>
    <t>En caso de errores formales se ajusta la redacción del documento y en caso de inconsistencias en lo sustancial, se procede a subsanar la falla y se labora la nueva decisión.</t>
  </si>
  <si>
    <t>Carpetas compartidas, expdientes fisicos, sistema de gestión disciplinaria Gecodi y correos electronicos.</t>
  </si>
  <si>
    <t>SI</t>
  </si>
  <si>
    <t>No realizar las actuaciones procesales en los términos legales</t>
  </si>
  <si>
    <t>Falta de control sobre los términos procesales</t>
  </si>
  <si>
    <t xml:space="preserve">
Pérdida de la competencia legal y de oportunidad para tomar decisiones en cada una de las etapas del proceso disciplinario</t>
  </si>
  <si>
    <t>Investigaciones disciplinarias
Pérdida de imagen del Grupo de Control Disciplinario Interno</t>
  </si>
  <si>
    <t>El Coordinador del Grupo de Control Disciplinario Interno cada vez que suscribe las actuaciones revisa las decisiones tomadas sobre los trámites o procesos de competencia del Grupo, a partir del conocimiento del mismo, lo establecido en el régimen disciplinario vigente y la reunión con el abogado que lleva el proceso para conocer los detalles y detrminar la pertinencia de la actuación. En caso de errores formales se ajusta la redacción del documento y en caso de inconsistencias en lo sustancial, se procede a subsanar la falla y se labora la nueva decisión. Carpetas compartidas, expdientes fisicos, sistema de gestión disciplinaria Gecodi, SIM y correos electronicos.</t>
  </si>
  <si>
    <t>El Coordinador del Grupo de Control Disciplinario Interno mensualmente  Hace seguimiento a los expedientes disciplinarios a partir de la realización de reuniones con cada abogado para revisar material y formalmente cada uno de los expedientes disciplinarios activos y dar pautas para la gestión durante el mes siguiente En caso de errores formales se ajusta la redacción del documento y en caso de inconsistencias en lo sustancial, se procede a subsanar la falla y se labora la nueva decisión. Carpetas compartidas, expdientes fisicos, sistema de gestión disciplinaria Gecodi, SIM y correos electronicos.</t>
  </si>
  <si>
    <t>Los procesos auditados arrojan información errada o inoportuna.</t>
  </si>
  <si>
    <t xml:space="preserve"> Incumplimiento por parte del proveedor  y falta de de seguimiento al acuerdo de confidencialidad, suscrito por el proveedor de TI y establecido por el MJD</t>
  </si>
  <si>
    <t>Inadecuado uso de la información por parte de terceros</t>
  </si>
  <si>
    <t>El Supervisor del Contrato de TI, cada vez se firme un contrato y con el fin de asegurar la  confidencilidad, disponilidad  e integridad de la información, verifica  que se encuentra firmado el  Acuerdo de confidencialidad.   Si no se firma el acuerdo, no se prodrá dar inico a la ejcución del contrato o acuerdo de intercambio de información o convenio. Como evidencia queda el acuerdo suscrito.</t>
  </si>
  <si>
    <t>MONITOREO
(líder del proceso)</t>
  </si>
  <si>
    <t>SEGUIMIENTO
Oficina de Control Interno</t>
  </si>
  <si>
    <t>ACCIONES</t>
  </si>
  <si>
    <t>PERIODICIDAD</t>
  </si>
  <si>
    <t>FECHA INICIO</t>
  </si>
  <si>
    <t>FECHA FINAL</t>
  </si>
  <si>
    <t>RESPONSABLE</t>
  </si>
  <si>
    <t>REGISTRO O EVIDENCIA</t>
  </si>
  <si>
    <t>MONITOREO 1</t>
  </si>
  <si>
    <t>MONITOREO 2</t>
  </si>
  <si>
    <t>MONITOREO 3</t>
  </si>
  <si>
    <t>SEGUIMIENTO 1</t>
  </si>
  <si>
    <t>SEGUIMIENTO 2</t>
  </si>
  <si>
    <t>SEGUIMIENTO 3</t>
  </si>
  <si>
    <t>Deficiente colaboración y convocatoria de los entes territoriales para los consejos seccionales de estupefacientes y formulación de la política regional</t>
  </si>
  <si>
    <t>La Dirección de Política de Drogas y Actividades Relacionadas, de acuerdo con lo estableido en el plan de acción de la política de drogas, oficiará a los entes territoriales para la programación de los consejos seccionales de estupefacientes y demás reuniones relacionadas con la asistencia y participación. En caso de no genearse los espacios de diálogo, se reiterarán las comunicaciones. Como evidencia quedan los oficios de convocatoria y/o reiteración</t>
  </si>
  <si>
    <t>Reiterar a los entes territoriales sobre la importancia y la necesidad de abrir espacios de diálogo para recibir la asistencia técnica en materia de política de drogas</t>
  </si>
  <si>
    <t>Cada vez que no haya respuesta de los entes territoriales</t>
  </si>
  <si>
    <t>N/A</t>
  </si>
  <si>
    <t>Director de Política de Drogas y Actividades Relacionadas</t>
  </si>
  <si>
    <t>Según necesidad</t>
  </si>
  <si>
    <t>Jefe Oficina de la OAP</t>
  </si>
  <si>
    <t>una vez al año</t>
  </si>
  <si>
    <t xml:space="preserve">Revisión por parte del GGC de la completitud de la documentación para dar inicio al tramite del proceso contractual </t>
  </si>
  <si>
    <t>Cuando aplique</t>
  </si>
  <si>
    <t>Jefe o coordinador de la dependencia solicitante del proceso de contratación</t>
  </si>
  <si>
    <t>Lista de chequeo diligenciada, radicada en el GGC con el proceso de contratacion.</t>
  </si>
  <si>
    <t>El funcionario del GGC requiere mediante correo electrónico a la dependencia solicitante del proceso de contratación que remita la documentacion faltante previo al inicio del tramite de la contratación.</t>
  </si>
  <si>
    <t>Profesional encargado del proceso en el GGC</t>
  </si>
  <si>
    <t>Correo en donde solicitó la información faltante o incompleta (en los casos que aplique).</t>
  </si>
  <si>
    <t>Coordinador GGC</t>
  </si>
  <si>
    <t>Memorando</t>
  </si>
  <si>
    <t>En el evento en que no se encuentren recaudadas todas las pruebas  decretadas por el Despachoo, o haciendo falta prueba que pueda modifica la situación jurídica del proceso, se puede prorrogar la acutación mediante decisión debidamente motivada con el fin de perfeccionar la actuación procesal.</t>
  </si>
  <si>
    <t>Por demanda</t>
  </si>
  <si>
    <t>Coordinador del Grupo de Control   Disciplinario Interno</t>
  </si>
  <si>
    <t>Carpetas compartidas, expedientes fisicos, sistema de información misional - SIM- , y correos electronicos.</t>
  </si>
  <si>
    <t>Ante la entrega incompleta, difusa por parte de la dependencia o entidad generadora  ala información solicitada por parte del Despacho, necesaria que pueda modificar la situación jurídica del proceso, se puede prorrogar la acutación mediante decisión debidamente motivada con el fin de perfeccionar la actuación procesal.</t>
  </si>
  <si>
    <t>Ayudas de memoria, grabaciones de las sesiones y/o planes de acción</t>
  </si>
  <si>
    <t>Falta de claridad jurídica de la redacción de los criterios de depuración normativa, incluidos en los lineamientos o metodologías</t>
  </si>
  <si>
    <t>Una deficiente depuración de la normativa objeto del  proceso de depuración del ordenamiento jurídico</t>
  </si>
  <si>
    <t>Director(a) de MASC con el apoyo del coordinador(a) del grupo CJCC y el enlace de calidad</t>
  </si>
  <si>
    <t>Director(a) de MASC con el apoyo del coordinador(a) del grupo CEDAAC</t>
  </si>
  <si>
    <t>Solicitar reprogramación o reformulación de las actividades del plan del acción con dificultades para su cumplimiento.</t>
  </si>
  <si>
    <t>Cuando aplica</t>
  </si>
  <si>
    <t>Director, Jefe o Coordinador de Grupo</t>
  </si>
  <si>
    <t>Formato solicitud modificación y plan de acción ajustado</t>
  </si>
  <si>
    <t xml:space="preserve">Solicitar inclusión de las actividades pendientes de cumplimiento en el plan de acción del año siguiente (cuando el reponsable lo considere posible). </t>
  </si>
  <si>
    <t>Plan de Acción Institucional</t>
  </si>
  <si>
    <t>Solicitar reformulación del Plan de Acción, atendiendo los lineamientos institucionales.</t>
  </si>
  <si>
    <t>Responsable de Plan
Director, Jefe o Coordinador de Grupo</t>
  </si>
  <si>
    <t>Formato solicitud de modificación 
plan de acción ajustado</t>
  </si>
  <si>
    <t>Subdirección de Control y Fiscalización de Sustancias Químicas y Estuperfacientes - Grupo de Control de Cannabis para Fines Médicos y Científicos</t>
  </si>
  <si>
    <t>Permanente</t>
  </si>
  <si>
    <t>Subdirección de Control y Fiscalización de Sustancias Químicas y Estuperfacientes - Grupo de Sustancias y Productos Químicos Controlados</t>
  </si>
  <si>
    <t>Cada vez que se requiera</t>
  </si>
  <si>
    <t>Director de Política de Drogas y Actividades Relacionadas como Secretario Técnico del Consejo Nacional de Estupefacientes</t>
  </si>
  <si>
    <t>Realizar la reunión de apertura para explicar y resolver inquietudes con respecto a la información requerida para llevar a cabo la auditoría.</t>
  </si>
  <si>
    <t>Cada vez que se realice una auditoría</t>
  </si>
  <si>
    <t>Equipo auditor de la Oficina de Control Interno</t>
  </si>
  <si>
    <t>Grabación, lista de asistencia o acta de reunión de apertura de la auditoría</t>
  </si>
  <si>
    <t xml:space="preserve">Realizar seguimiento a la programación y ejecución de las auditorías </t>
  </si>
  <si>
    <t>Mensualmente</t>
  </si>
  <si>
    <t>Acta de reunión grupo primario y seguimiento de la planeación mensual</t>
  </si>
  <si>
    <t>Ningun riesgo ya que todas las solicitudes de traslado que llegan y se encuentran completos los expedientes se tramitan en la Comisión Intersectorial siguiente, en caso  hipotetico que se encuentre completitud del expediente de traslado y no se llegare a tramitar, deberia tramitarse de forma inmediata</t>
  </si>
  <si>
    <t>cada 3 meses</t>
  </si>
  <si>
    <t>Coordinador Grupo de Traslado de Personas Condenadas</t>
  </si>
  <si>
    <t>Queda debidamente registrado en el acta de la comision intersectorial, en video o en audio, y  ello queda plasmado en los actos administrativos expedidos por el despacho del señor Ministro, asi mismo se debe actualizar la bases de datos de la coordinación de grupo y el aplicativo SIM</t>
  </si>
  <si>
    <t>El coordinador del Grupo de Asistencia Judicial de la Dirección de Asuntos Internacionales, cada vez que se reciba una solicitud de asistencia judicial en materia penal y previo al envío de esta a la autoridad central correspondiente, a fin de determinar la viabilidad de la solicitud y  evitar devoluciones o reprocesos por documentación incompleta o inconsistente por parte de la Autoridad Central,revisará el cumplimiento de los requisitos de fondo y forma, previstos en el instrumento internacional aplicable al caso concreto. En caso de que al momento de recibir la solicitud, esta se encuentre sin el lleno de los requisitos, se devuelve a la autoridad judicial requirente con las observaciones del caso.</t>
  </si>
  <si>
    <t>Coordinador del Grupo de Asistencia Judicial en Materia Penal</t>
  </si>
  <si>
    <t>Oficios por parte del Ministerio a través de los cuales se devuelven las solicitudes con las respectivas observaciones en orden a que las autoridades judiciales subsanen lo que corresponda en las solicitudes para, finalmente, poder enviarlas a los Estados requeridos.</t>
  </si>
  <si>
    <t>Identificar la causa que generó el trámite inadecuado y/o inoportuno e implementar un control adicional a las bases de datos de control de tiempos creadas para evitar que se materialicen los riesgos, que pueden concretarse en una revisión semanal del estado de los trámites y reforzar el conocimiento del procedimiento con capacitaciones a los funcionarios que lo aplican.</t>
  </si>
  <si>
    <t>Coordinadora del Grupo de Extradiciones</t>
  </si>
  <si>
    <t>Aunque el control dice una vez al año, se ha intensificado las capacitaciones en el manejo del Gestor Documental con enfásis en PQRDS</t>
  </si>
  <si>
    <t xml:space="preserve">1 vez al año </t>
  </si>
  <si>
    <t>Grupo de Gestión Documental - Grupo de servicio al Ciudadano</t>
  </si>
  <si>
    <t xml:space="preserve">
1. Convocatoria realizada
2. Listados de asistencia
3. Memorandos (cuando aplique)
4. Programación de capacitaciones.</t>
  </si>
  <si>
    <t>Se realizan capacitaciones con cada una de las dependencias sobre manejo de tipologias documentales, así mismo se invita a funcionarios de mesa de entrada (radicación)</t>
  </si>
  <si>
    <t>No definida en el control, se espera sea trimestral</t>
  </si>
  <si>
    <t xml:space="preserve">
Cada dependencia cuenta con un funcionario y/o contratista llamado enlace PQRDS quien colabora al Grupo de Servicio al Ciudadano a realizar el respectivo seguimiento de PQRDS de sus dependencias y mínimo una vez al mes comparte resultado de este seguimiento con GSC.</t>
  </si>
  <si>
    <t>mensual</t>
  </si>
  <si>
    <t>Grupo Servicio al Ciudadano - Enlaces PRDS de cada una de las dependencias.</t>
  </si>
  <si>
    <t>1. Correos electronicos de seguimiento de los enlaces de PQRDS
2. Requerimiento al líder (jefe) de la dependencia (si se requiere)
3. Correo del enlace al responsable con las alertas de próximos vencimientos.</t>
  </si>
  <si>
    <t>Trimestral</t>
  </si>
  <si>
    <t>Grupo Servicio al Ciudadano</t>
  </si>
  <si>
    <t>Correo electrónico de socialización de reconocimientos a funcionarios y contratistas</t>
  </si>
  <si>
    <t>Semanal</t>
  </si>
  <si>
    <t xml:space="preserve">
1. Correos electrónicos y reportes de PQRDS próximos a vencer.</t>
  </si>
  <si>
    <t>El informe trimestral de PQRD se elabora con información generada directamente de Sistema de Gestión Documental y se involucra a todas las dependencias que gestionan PQRDS invitandolos a revisar las inconsistencias previo a la publicación del informe.</t>
  </si>
  <si>
    <t>trimestral</t>
  </si>
  <si>
    <t>Grupo de Servicio al Ciudadano</t>
  </si>
  <si>
    <t>1. Informe construido
2. Link de publicación
3. Correo a GCID
4. Evidencias de presentación a comité
5. Evidencias de divulgación al Ministro y las dependencias</t>
  </si>
  <si>
    <t>Si al momento de realizar la conciliación se detectan cifras con diferencias, se solicita aclaración o verificación de estas al areá responsable de forma inmediata, de no surtirse este proceso se deja la anotación en la respectiva conciliación, para ser subsanada en el mes siguiente</t>
  </si>
  <si>
    <t>Direccion de Justicia Transicional</t>
  </si>
  <si>
    <t>Comunicaciones e informes de supervisión</t>
  </si>
  <si>
    <t>Comunicaciones, informes de supervisión o reportes</t>
  </si>
  <si>
    <t>Cada vez que se presente un incumplimiento en los términos de traslado</t>
  </si>
  <si>
    <t>Respuesta en SGDA</t>
  </si>
  <si>
    <t>En caso de materializarse el  riesgo y no realizar el seguimiento a los compromisos establecidos por el MJD se elaborará un documento en el que la entidad pueda entregar la información para consulta que contenga los avances relativos al compromiso para presentar a la instancia, dependencia o entidad correspondiente.</t>
  </si>
  <si>
    <t>Cada vez que no se realice el seguimiento a los compromisos</t>
  </si>
  <si>
    <t>Documento elaborado</t>
  </si>
  <si>
    <t>Se realiza una prenómina en la cual se verifican las respectivas liquidaciones</t>
  </si>
  <si>
    <t>Correos electrónicos</t>
  </si>
  <si>
    <t>Grupo de nómina</t>
  </si>
  <si>
    <t xml:space="preserve"> trimestralmente /semestralmente</t>
  </si>
  <si>
    <t>Profesional  Universitario o Especializado de Gestión Humana</t>
  </si>
  <si>
    <t>*actas del comité y  ofertas institucionales (ESAP, UNAL , UNAD, UNIVERSIDAD JAVERIANA, UPTC</t>
  </si>
  <si>
    <t xml:space="preserve">*Realizacion de comites para la verificación del presupuesto asignado para realizar las capacitaciones
 -Presentacion de  ofertas Institucionales de otras Entidades Públicas vs el PIC 
-Proyectos de Aprendizaje en Equipo
-Realizar seguimiento periódico a la ejecución del presupuesto </t>
  </si>
  <si>
    <t>Se hace revisión del cumplimiento de requisitos establecidos en el manual de funciones con los soportes entregados por los aspirantes en el formato F-THAD-01-09 denominado Calculo Tiempo de Experiencia Laboral. Si el aspirante cumple requisitos se expide con firma del Secretario General el certificado de cumplimiento de requisitos en el formato F-THAD-01-05.
De igual forma se valida los siguientes documentos: Certificados de antecedentes fiscales, disciplinarios y judiciales y si es el caso el certificado de antecedente de la profesión.  Si se presenta alguna duda frente a los soportes o titulos entregados, se remite correo electrónico a la entidad respectiva para validar su autenticidad. Se verifica continuamente las normas que rigen en la materia por si existen actualizaciones que se deben tener en cuenta al momento de validar el cumplimiento de requisitos.</t>
  </si>
  <si>
    <t xml:space="preserve">Formato F-THAD-01-09 denominado Calculo Tiempo de Experiencia Laboral.
Formato F-THAD-01-05 denominado certificado de cumplimiento de requisitos.  </t>
  </si>
  <si>
    <t>Caundo hay nuevas incorporaciones</t>
  </si>
  <si>
    <t>Coordinador GGH</t>
  </si>
  <si>
    <t>*Realizacion de comites para la verificación del  presupuesto asignado para realizar las actividades de Bienestar
*Para llevar el control contractual  y presupuestal se diligencia ell formato de solicitud de servicio suscrito por el Coordinador del Grupo de Gestión Humana.
*Se realiza la validación de todas las solicitudes a cargo del contrato para verificar que los servicios prestados y posiblemente facturados esten acorde a las necesidades del Ministerio</t>
  </si>
  <si>
    <t>actas del comité y formatos de solicitud de eventos</t>
  </si>
  <si>
    <t xml:space="preserve">Se verifica la documentación antes de registrar en DAPRE
</t>
  </si>
  <si>
    <t>Minjusticia/SigSistemaIntegradodeGestion/ProcesosEstrategicos/GestiondelTalentoHumano/G-th-01 Comisión de servicios al exterior
F-GF-21-01 V14 "Orden de Comisión y Pago de Viáticos Nacionales"                            
F-GF-21-02  V15 "Autorización de viaje y Orden de pago de Gastos de Desplazamiento Nacionales"
F-GF-21-03  V14 "Ampliación o Prorroga para Orden de Comisión y Pagos de Viáticos Nacionales"   
F-GF-21-04  V14"Ampliación o prórroga para Autorización de viajes y Orden de pago de Gastos de Desplazamiento Nacionales"  
https://sig.minjusticia.gov.co/#</t>
  </si>
  <si>
    <t xml:space="preserve">Cada vez que se requiera </t>
  </si>
  <si>
    <t>Plan de choque: Depuracion de la cartera identificando las incapacidades y/o icencias superiores a  2 dias. Se oficio  a las EPS con cartera mayor a 180 dias y se informo a la Superintendencia de Salud de conformidad con el Articulo 2.2.3.1 del Decreto 780 de 2016. Se oficio a las EPS  requriendo el pago de las incapacidades que superan los 30 dias.    Establecer criterios juridicos con el fin de constituir titulo valor para realizar cobro persuasivo y/o coactivo a las EPS.</t>
  </si>
  <si>
    <t xml:space="preserve">Acta de reunion plan de choque.Oficios EPS y a la Surintendecnia de Salud. Acta de reunion con la Oficina Juridica. </t>
  </si>
  <si>
    <t>Cuando se requiera</t>
  </si>
  <si>
    <t>Reunión con el Director Coordinador y profesionales a fin de revisar los casos que presentaron inconsistencias y su tratamiento</t>
  </si>
  <si>
    <t xml:space="preserve">Cuando aplique </t>
  </si>
  <si>
    <t>Director Jurídico</t>
  </si>
  <si>
    <t xml:space="preserve">Acta - Lista de Asistencia </t>
  </si>
  <si>
    <t xml:space="preserve">Reunion con el Grupo Financiero - Director Juridico - Coordiandor GAA a fin de revisar los casos criticos y suposible tratamiento o reclasificación contable </t>
  </si>
  <si>
    <t xml:space="preserve">Reunion con la Agencia Nacional de Defensa Juridica del Estado, a fin de generar acciones conjuntas que permita disminuir las inconsistencias en el cargue de la información al sistema </t>
  </si>
  <si>
    <t xml:space="preserve">Remision de memorando a fin de exortar al funcionario para que justifique el vencimiento, remita las opciones que procede juridicamente en el caso concreto e inciciar el proceso disiciplinario que corresponda </t>
  </si>
  <si>
    <t xml:space="preserve">Memorando /Correo Electrónico </t>
  </si>
  <si>
    <t xml:space="preserve">Reunion con Secretario General- Grupo financiero -Director Jurídico a fin de establecer el mecanismo y lineamoentos que permita la oportuno pago de los compromisos judiciales </t>
  </si>
  <si>
    <t>Atender el servicio o bien  afeactado con prioridad  y estructurar un monitoreo a este bien</t>
  </si>
  <si>
    <t>Cada vez que ocurra</t>
  </si>
  <si>
    <t>El Subdirector de Tecnologías y Sistemas de información</t>
  </si>
  <si>
    <t>Caso en Mesa de ayuda</t>
  </si>
  <si>
    <t xml:space="preserve">Mitigar y remediar el evento ocurrido  y continuar con el monitoreo como control. </t>
  </si>
  <si>
    <t>El Subdirector de Tecnologías y Sistemas de información- Oficial de Seguridad</t>
  </si>
  <si>
    <t xml:space="preserve">Validación y correción del evento. </t>
  </si>
  <si>
    <t>Capacitación y reinducción tecnológica</t>
  </si>
  <si>
    <t>Enfasis en la política operativa específica y Atender el servicio o bien  afectado con priorirar  y estructurar un monitoreo a este bien o servicio.</t>
  </si>
  <si>
    <t>Gestioanar con la fuente de datos la información a través de comunicación oficial.</t>
  </si>
  <si>
    <t>Subdirección de Gestión de  Información en Justicia.</t>
  </si>
  <si>
    <t>Comunicación Oficial</t>
  </si>
  <si>
    <t>Analizar y establecer una corrección a la interprestación de los datos entregados.</t>
  </si>
  <si>
    <t>Corrección del reporte.</t>
  </si>
  <si>
    <t>Reentrenamiento al equipo de la OECED.</t>
  </si>
  <si>
    <t>Equipo de la OECED.</t>
  </si>
  <si>
    <t>Evidencias del entrenamiento</t>
  </si>
  <si>
    <t>Replantear  los estudios previos tecnicamente  y posteriormente con el área  Contractual.</t>
  </si>
  <si>
    <t>La Dirección de Tecnologías y Gestión de la Ifnormación, y las dos Subdirecciones según sea el caso.</t>
  </si>
  <si>
    <t>Estudios Previos</t>
  </si>
  <si>
    <t>El Subdirector de Gestión Tecnologías y Sistemas de Información</t>
  </si>
  <si>
    <t>Caso en Mesa de ayuda y su correpondiente gestión de seguimiento.</t>
  </si>
  <si>
    <t>Enfasis en la política operativa específica y Atender el servicio o bien  afeactado con priorirar  y estructurar un monitoreo a este bien o servicio.</t>
  </si>
  <si>
    <t xml:space="preserve">Por demanda y se realiza cuando se presente un caso en demoras. </t>
  </si>
  <si>
    <t xml:space="preserve">SUBDIRECTOR(A) DE ESTRATÉGICA Y DE ANÁLISIS SEA  </t>
  </si>
  <si>
    <t>Aplicar las Pólizas del contrato</t>
  </si>
  <si>
    <t>STSI y SGIJ</t>
  </si>
  <si>
    <t>Actas de trabajo</t>
  </si>
  <si>
    <t>El Grupo Jurídico de la  SCFSQE no reporta de manera oportuna las licencias otorgadas para su incorporación y registro</t>
  </si>
  <si>
    <t>Por el manejo manual de la información, se pueden presentar errores humanos en el registro de la información financiera</t>
  </si>
  <si>
    <t>Subestimación de las cifras en los estados financieros frente a los ingresos recibidos por la Entidad</t>
  </si>
  <si>
    <t>Investigaciones fiscales, disciplinarias o penales</t>
  </si>
  <si>
    <t>Requerimientos por los Entes de Control que conllevan a hallazgos fiscales, disciplinarias o penales</t>
  </si>
  <si>
    <t>Falta de un desarrollo financiero en el sistema de información - MICC que permita registrar de manera oportuna los hechos económicos frente a las licencias otorgadas</t>
  </si>
  <si>
    <t>Fallas en los sistemas tecnológicos de apoyo necesarios para el desarrollo de las actividades</t>
  </si>
  <si>
    <t>No elaborar oportunamente el concepto de no intervención de un proceso</t>
  </si>
  <si>
    <t>Ante eventualidades de carácter tecnológico del Sistema de Gestión Documental que puedan poner en riesgo la oportunidad de la intervención, esta se enviará por el correo electrónico institucional disponible</t>
  </si>
  <si>
    <t>Cada vez que se presenten eventualidades</t>
  </si>
  <si>
    <t>Director DDDOJ</t>
  </si>
  <si>
    <t>Correo electrónico institucional</t>
  </si>
  <si>
    <t>Código: F-MC-G04-01
Versión: 6</t>
  </si>
  <si>
    <t>4. Consolidar la política integral de drogas, su implementación y evaluación.</t>
  </si>
  <si>
    <t>No contar con "Nuevos estudios realizados, que ofrezcan una nueva visión para la formulación acertada de la política de Drogas" en Colombia.</t>
  </si>
  <si>
    <t>El asesor jurídico de la Dirección de Política de Drogas y Actividades Relacionadas y/o el asesor de la Subdirección Estratégica y de ánalisis , según el campo de acción del convenio, cada vez que se vaya a suscribir un convenio y previo a la entrega de la documentación a la Secretaría General, a fin de que la documentación e información consignada en el convenio este acorde a las necesidades y requerimientos de la dependencia a cargo, revisa y realiza los ajustes correspondientes a la información del mismo en los aspectos jurídicos. Si al momento de la revisión, se identifica información incongruente, faltante o que no es clara, procede a la correción de esta, dejando una copia con los cambios realizados. Se pueden recibir ajustes por parte del cooperante que deben ser incluidos en esta revisión. Evidencia: Versionamientos de la documentación asociada a la etapa pre contractual de los convenios
Solicitudes de ajuste a traves de las fuentes de comunicación oficiales .</t>
  </si>
  <si>
    <t>La persona designada experta en temas técnicos de la Dirección de Política de Drogas y Actividades Relacionadas y/o la persona experta designada de la Subdirección Estratégica y de ánalisis, según el campo de acción del contratista, cada vez que se vaya a suscribir un contrato y previo a la entrega de la documentación a la Secretaría General, a fin de que la documentación e información consignada en el contrato este acorde a las necesidades y requerimientos de la dependencia a cargo, revisa la información y realiza los ajustes correspondientes del mismo en los aspectos técnicos. Si al momento de la revisión, se identifica información inconsistente, faltante o que no es clara, procede a la correción de esta, dejando una copia con los cambios realizados. Se pueden recibir ajustes por parte del contratista que deben ser incluidos en esta revisión. Evidencia: Versionamientos de la documentación asociada a la etapa pre contractual de los contratistas.
Solicitudes de ajuste a traves de las fuentes de comunicación oficiales .</t>
  </si>
  <si>
    <t xml:space="preserve">Solicitar extender el plazo (prórroga de los Convenios), para el desarrollo y presentación de los estudios e investigaciones del observatorio de Drogas de colombia, en cumplimiento a la meta establecida. </t>
  </si>
  <si>
    <t>No se fortalece la seguridad jurídica</t>
  </si>
  <si>
    <t>El funcionario designado, semanalmente, a fin de evitar que el seguimiento no se realice de forma oportuna, actualiza los formatos de seguimiento procesal de la Corte Constitucional y del Consejo de Estado, excepto durante la vacancia judicial. Cuando al actualizar el cuadro encuentre una situación que merezca ser comunicada, se informará esta a la dirección. Evidencia: Formatos de seguimiento procesal de la Corte Constitucional y del Consejo de Estado (F-SJ-02-01 y F-SJ-02-02)</t>
  </si>
  <si>
    <t>Cada vez que haya duda sobre la presición de la información que se registra.</t>
  </si>
  <si>
    <t>Pérdida de imagen del sistema SUIN-Juriscol del Ministerio de Justicia y del Derecho</t>
  </si>
  <si>
    <t>El funcionario designado, mensualmente a fin de llevar un control de las tareas asignadas y evitar un incumplimiento en el cargue por parte de los funcionarios asignados a las tareas, hara seguimiento a la programación donde se revisará el avance de esta. Si al momento de hacer el seguimiento se identifica una norma no cargada en el sistema, se hace el respectivo requerimiento al funcionario designado para que este realice el cargue, si por alguna razón el funcionario no puede realizar el cargue se designara a un nuevo funcionario quien debera realizar el cargue en el menor tiempo posible. Evidencia: Formato Control General
Correos electronicos 
Reasignación del cargue de ser necesario</t>
  </si>
  <si>
    <t>El equipo de trabajo del grupo de calidad normativa, cada vez que se va a redactar un nuevo documento de lineamientos o metodología, revisa que los criterios de depuración normativa utilizados sean jurídicamente claros. Si al momento de revisar el documento se identifica que algún criterio de depuración normativa no es claro, el equipo lo analiza, discute y redacta de forma tal que resulte jurídicamente claro. 
Evidencia: documento con redacción corregido - correo electrónico</t>
  </si>
  <si>
    <t xml:space="preserve">El grupo de calidad normativa revisa las observaciones y sugerencias que hagan las entidades que implementen los lineamientos o metodologías de depuración normativa en relación con la claridad jurídica de los criterios de depuración. </t>
  </si>
  <si>
    <t xml:space="preserve">Cada vez que que las entidades que implementen los lineamientos o metodologías de depuración normativa hagan observaciones o sugerencias en relación con la claridad jurídica de los criterios de depuración. </t>
  </si>
  <si>
    <t>Devolución del proceso de contratación a la dependencia por no cumplir con los requisitos técnicos, legales y/o financieros</t>
  </si>
  <si>
    <t xml:space="preserve">Revisión por parte de las dependencais misionales de los documentos asociados a la formulación de políticas públicas </t>
  </si>
  <si>
    <t>Cada dos años</t>
  </si>
  <si>
    <t>1/67/22</t>
  </si>
  <si>
    <t>Dependencias misionales</t>
  </si>
  <si>
    <t>El coordinador del grupo de conciliación extrajudicial en derecho, arbitraje y amigable composición o el servidor designado, una vez al año, a fin de evitar el incumplimiento de las visitas de inspección programadas, diligenciará el formato de priorización para determinar los centros que deberán ser visitados en la vigencia, atendiendo las  limitaciones en recursos humanos y financieros del proceso. Si no se pueden realizar las visitas se registra en el formato con la debida justificación. Asimismo, Excepcionalmente, cuando no puedan realizarse visitas in situ a los centros priorizados por las situaciones descritas en el literal anterior, se puede desarrollar inspección  virtual, es decir, requerimientos teniendo en cuenta la verificación efectuada a través del SICAAC. Evidencia: Formato de priorización de visitas</t>
  </si>
  <si>
    <t>Realización de inspección virtual a los centros que fueron priorizados para las visitas in situ, a través de consulta en el Sistema de Información de la Conciliación, el Arbitraje y Amigable Composición, si no se pueden realizar las visitas presencialmente. En caso de identificar incumplimiento se envía el respectivo requerimiento.</t>
  </si>
  <si>
    <t xml:space="preserve">Posibilidad que el equipo auditor emita informes de auditoria con inconsistencias, inexactitudes o errores, que afecten la productividad de los planes de mejoramiento y no aporten valor público. 
</t>
  </si>
  <si>
    <t>1. Informes inconsistentes</t>
  </si>
  <si>
    <t>2. Toma de decisiones erradas</t>
  </si>
  <si>
    <t>3. Desviación en los resultados de la auditoria</t>
  </si>
  <si>
    <t>4. Afectación de la mejora continua del MJD</t>
  </si>
  <si>
    <t>El Jefe de la OCI enfoca al auditor, previo al desarrollo de la auditoría, y a la vez, revisa el informe preliminar y sus papeles de trabajo, cada vez que se desarrolla una auditoria y antes de ser remitido a las partes interesadas con el  fin de evitar imprecisiones en el contenido del mismo. Lo lee, analiza y en caso de observar inconsistencias solicita, a través de correo electrónico las justificaciones o correcciones al auditor para realizar los respectivos ajustes al informe. Evidencia: Correo electrónico con la revisan realizada al informe</t>
  </si>
  <si>
    <t>Realizar reunión para dar lineamientos y directrices para abordar las auditorías bajo enfoque en riesgos y determinando la mejora institucional</t>
  </si>
  <si>
    <t>Jefe Oficina de Control Interno y Equipo auditor de la Oficina de Control Interno</t>
  </si>
  <si>
    <t>Reunión de la reunión de grupo primario</t>
  </si>
  <si>
    <t>1. Procesos sin un adecuado mejoramiento continuo</t>
  </si>
  <si>
    <t>2. Reprogramación de las auditorias ya programadas</t>
  </si>
  <si>
    <t xml:space="preserve">3. Pérdida imagen institucional.
</t>
  </si>
  <si>
    <t xml:space="preserve">
4. Falta de conocimiento y decisión por parte de la Alta Dirección frente a temas priorizados en el Plan Anual de Auditoria.</t>
  </si>
  <si>
    <t xml:space="preserve">Los viceministros en coordinación con los directores, cada vez que se vaya a formular política pública, a fin de seleccionar al personal más idóneo para las temáticas a tratar en la formulación de políticas públicas y teniendo en cuenta el manual de funciones del Ministerio, procederá a distribuir internamente ya sea el proceso completo de formulación o las actividades relacionadas en la metodología al personal a cargo. Si en el proceso de distribución de actividades o temáticas, se presenta una deficiencia en capacidades, conocimientos o experiencia interna se podrá recurrir a una entidad externa o a expertos, para solicitar el apoyo requerido. Evidencia: 
Cronograma de actividades con responsables definidos según sus competencias
Solicitud de apoyo o colaboración para una actividad o temática específica </t>
  </si>
  <si>
    <t>Desconocimiento del ordenamiento jurídico para la producción de los proyectos de actos normativos  y con las metodologías y lineamientos existentes para la producción normativa.</t>
  </si>
  <si>
    <t>Comunicación de salida</t>
  </si>
  <si>
    <t>1.La Subdirección de Gestión de la Información, trimestralmente, a fin de verificar el cumplimiento de las condiciones previamente pactadas, realiza seguimiento al convenio o acuerdo de intercambio de información. En caso de encontrar incumplimiento de las condiciones  pactadas en el convenio o acuerdo, el Ministerio debe generar la alerta a la fuente de información para que esta tome las medidas correspondientes. Evidencia: Informes de seguimiento
Alertas en el caso que así lo amerite
Respectiva respuesta de la fuente de información ante las alertas generadas</t>
  </si>
  <si>
    <t>2.El profesional designado de la  Subdirección de Gestión de la Información, al menos una vez al año, para evitar interpretación errónea de los datos y fortalecer la consistencia de los mismos, socializara los lineamientos para análisis y calidad de los datos tanto para las áreas misionales como para la subdirección. La socialización se podrá realizar por estos medios: mailing, intranet, reuniones. En caso de que al momento de socializar los lineamientos haya una ausencia mayor o igual a la tercera parte, se enviará a los ausentes las memorias y el material utilizado en la reunión. Evidencia: Asistencia a la socialización, material utilizado en la reunión y memorias.</t>
  </si>
  <si>
    <t>3.La Subdirección de Gestión de la Información, trimestralmente, a fin de verificar el cumplimiento de las condiciones previamente pactadas, realiza seguimiento al convenio o acuerdo de intercambio de información. En caso de encontrar incumplimiento de las condiciones  pactadas en el convenio o acuerdo, el Ministerio debe generar la alerta a la fuente de información para que esta tome las medidas correspondientes. Evidencia: Informes de seguimiento
Alertas en el caso que así lo amerite
Respectiva respuesta de la fuente de información ante las alertas generadas</t>
  </si>
  <si>
    <t>Reunión semanal de Consejo de Redacción</t>
  </si>
  <si>
    <t>Correo semanal</t>
  </si>
  <si>
    <t>Socialización con el personal de la OPC</t>
  </si>
  <si>
    <t>Jefe Oficina  de Prensa y Comunicaciones</t>
  </si>
  <si>
    <t>Anual</t>
  </si>
  <si>
    <t>Acta reunión</t>
  </si>
  <si>
    <t>Correo electrónico/ Trazabilidad</t>
  </si>
  <si>
    <t>Acta reunión y/o correo electrónico</t>
  </si>
  <si>
    <t xml:space="preserve">Corodinación GGFC y/o Tecnologias de la Información  </t>
  </si>
  <si>
    <t>Entrega incompleta o inconsistente de la información contable por parte de las dependencias generadoras</t>
  </si>
  <si>
    <t xml:space="preserve">La persona responsable de la conciliación designada por el líder del GGFC, mensualmente a fin de detectar errores en la información remitida por las areás, realiza la conciliación e identifica posibles cifras con diferencias. Si al momento de realizar la conciliación detecta diferencias, se solicita aclaración al área generadora de la información contable a través de correo electrónico; de no recibir respuesta se dejará registro en la conciliación para ser subsanado en el mes siguiente. Si no se aplica este control, se puede presentar el riesgo de recibir información incompleta o inconsistente por parte de las dependencias generadoras de la información. 
Evidencias: 
1) Solicitud de aclaración a través de correo electrónico 
2) Conciliación </t>
  </si>
  <si>
    <t xml:space="preserve">En caso de que las áreas generadoras de la información contable no remitan la información dentro de los plazos establecidos en el procedimiento de Análisis, depuración y conciliación de cuentas P-GF-10 y/o el Calendario de Recepción de Trámites ante el GGFC de la vigencia, el GGFC solicitará la información por correo electrónico. </t>
  </si>
  <si>
    <t xml:space="preserve">Area contable </t>
  </si>
  <si>
    <t xml:space="preserve">Evidencia:
1) Correo electrónico solicitando el envio de la información </t>
  </si>
  <si>
    <t xml:space="preserve">Evidencia:
1) Correo electrónico solicitando aclaración de la información 
2) Conciliación </t>
  </si>
  <si>
    <t>Mensual</t>
  </si>
  <si>
    <t xml:space="preserve">Grupo de Gestión Documental </t>
  </si>
  <si>
    <t xml:space="preserve">Anual </t>
  </si>
  <si>
    <t xml:space="preserve">Reporte Power Bi 
Tipologías Documentales </t>
  </si>
  <si>
    <t>Reporte Power Bi 
Correspondencia Recibida</t>
  </si>
  <si>
    <t>Controles internos para validar la radicación un índice de efectividad a través de la aplicación Power BI</t>
  </si>
  <si>
    <t xml:space="preserve">Controles internos para validar en tiempo real al 100% de la radicación recibida en la Entidad a través de la herramienta Power BI </t>
  </si>
  <si>
    <t>Realizar atención inmediata y oportuna  del servicio de mantenimiento, cuando los vehículos presenten fallas</t>
  </si>
  <si>
    <t>Coordinador Grupo Calidad</t>
  </si>
  <si>
    <t>Documento de seguimeitno al SIG</t>
  </si>
  <si>
    <t>Finalización de la vinculación con el Ministerio</t>
  </si>
  <si>
    <t>Pérdida de conocimiento</t>
  </si>
  <si>
    <t>Rotación interna de trabajo</t>
  </si>
  <si>
    <t>Discapacidad o muerte</t>
  </si>
  <si>
    <t>El superior inmediato, cada vez que se presenta el retiro de un funcionario de la entidad y con el fin recopilar el conocimiento, verifica y aprueba la información registrada en el formato  "ENTREGA DEL PUESTO DE TRABAJO". En caso de no entregar la información requerida por el formato, no se procederá a realizar la liquidación correspondiente. Como evidencia queda el formato "ENTREGA DEL PUESTO DE TRABAJO" firmado por el jefe inmediato.</t>
  </si>
  <si>
    <t>Formulario Forms</t>
  </si>
  <si>
    <t>Cada vez que ocurra una rotación interna, como requisito para el traslado se debe diligenciar el Formato "ENTREGA DEL PUESTO DE TRABAJO"</t>
  </si>
  <si>
    <t>Coordinador grupo de Calidad
Coordinador de Grupo de Gestión Humana</t>
  </si>
  <si>
    <t>Realizar un registro anual para los funcionarios de planta, en el sistema de información.</t>
  </si>
  <si>
    <t>Coordinador grupo de Calidad
Coordinador de Grupo de Gestión Humana
Director de Tecnología</t>
  </si>
  <si>
    <t>Sistema de Información</t>
  </si>
  <si>
    <t>Riesgo operativo</t>
  </si>
  <si>
    <t>Falta de credibilidad en la gestión disciplinaria  por el inadecuado manejo de los términos  y pruebas en la instrucción y tramite del proceso de las posibles faltas disciplinarias, al no llevar un adecuado seguimiento a las actuaciones Disciplinarias</t>
  </si>
  <si>
    <t>Pérdida de gestión y liderazgo por parte del MJD por no realizar el traslado de las solicitudes de visita al Sistema de Responsabilidad Penal para Adolescentes - SRPA y al Sistema Penintenciario y carcelario que no son competencia del Ministerio de Justicia y el Derecho en los tiempos establecidos.</t>
  </si>
  <si>
    <t>No se atienden las necesidades expresadas por la PPL, al no realizar el seguimiento a las visitas realizadas ni a los compromisos establecidos que son competencia del Ministerio, al no llevar un control sobre los compromisos establecidos</t>
  </si>
  <si>
    <t>Hacer seguimiento a la respuesta al peticionario y a su vez del traslado a la instancia, dependencia o entidad competente.</t>
  </si>
  <si>
    <t>Afectaciones a la gestión y al cumplimiento  de las metas institucionals por Incumplimiento de las metas definidas en los planes y proyectos de inversión institucionales, por la deficiencia en la gestión de las dependencias</t>
  </si>
  <si>
    <t>Vulneración de los derechos de las personas que solicitan la repatriación, al no atender las solicitudes válidas de traslado de personas condenadas de ciudadanos Colombianos detenidos en el exterior y de ciudadanos extranjeros detenidos en Colombia, por no atender oportunamente las solciitudes o por tener información incompleta</t>
  </si>
  <si>
    <t>Incumplimiento por parte del Ministerio de las obligaciones contraidas en virtud de los convenios internacionales suscritos en asistencia mutua en materia penal, al tramitar inadecuada y/o inoportunamente las solicitudes, por falta de revisión de la documentación requerida</t>
  </si>
  <si>
    <t>Incumplimiento de los tratados de extradición firmados por el país, al tramitar inadecuada y/o inoportunamente las solicitudes formales de extradicción pasiva - activa que se alleguen al ministerio de justicia, al no tener los soportes requeridos para tal fin.</t>
  </si>
  <si>
    <t>poca claridad de los mensajes divulgados como parte de la estrategia</t>
  </si>
  <si>
    <t>desactualización del plan estratégico de comunicaciones con respecto a las necesidades de la entidad.</t>
  </si>
  <si>
    <t>falta de interoperabilidad de los sistemas de información.</t>
  </si>
  <si>
    <t>Mala imagen institucional al entregar reportes o tableros de control de información de forma inconsistente o inoportuna, por la demora en la generación de los acuerdos de intercambio de información.</t>
  </si>
  <si>
    <t>Demoras en la gestión institucional por la indisponibilidad de un bien o servicio de tecnología, al no tener los recursos necesarios, la gestión de mantenimiento y/o la seguridad requerida paa su funcionamiento</t>
  </si>
  <si>
    <t>Deficiencias en la gestión o demoras en los procesos por la pérdida de información contenida en medio electrónico, al no contar con la seguridad necesaria para salvaguardar la información o los back ups requeridos</t>
  </si>
  <si>
    <t>Desatención a las necesidades de la población por la formulación de políticas públicas sin el cumplimiento de requisitos, debido al iIncumplimiento de la metodología del proceso de formulación de políticas públicas competencia del Ministerio de Justicia y el Derecho.</t>
  </si>
  <si>
    <t>Pérdida de recursos económicos para el MJD por ls inoportuna Gestión de Las Actividades De Cobro, al no realizar el seguimiento a las obliaciones recibidas y en gestión de cobro</t>
  </si>
  <si>
    <t xml:space="preserve">Afectaciones jurídicas a la Entidad por el deficiente cargue de la información y al efectuar calificaciones de los riesgos procesales de manera inoportuna o con errores, por no tener un seguimiento a la gestión litigiosa realizada </t>
  </si>
  <si>
    <t>Afectaciones jurídicas, económicas y demás por la indebida defensa de los intereses de la Entidad, por el vencimiento de términos en los procesos contenciosos y conciliaciones en los que es parte el Ministerio de Justicia y del Derecho, por falta de seguimiento al estado de los procesos</t>
  </si>
  <si>
    <t>Pérdida de recursos por la inoportunidad en el pago de sentencias y conciliaciones en contra de la entidad, debido al deficiente seguimeinto al estado de los casos</t>
  </si>
  <si>
    <t>Pérdida de oportunidad en la intervención de los procesos en los que tieen interés el MJD, por el vencimiento de términos en la presentacion de memoriales propios de los procesos de extincion de dominio en los que interviene el Ministerio de Justicia y del Derecho, por no realizar seguimeitno oportuno a los procesos</t>
  </si>
  <si>
    <t xml:space="preserve">
Aplicación inadecuada o desconocimiento de la normatividad archivística </t>
  </si>
  <si>
    <t>falta Infraestructura adecuada para la administración, almacenamientos, conservación y custodia de la documentación.</t>
  </si>
  <si>
    <t>pérdida de la memoria institucional, dificultad en el desarrollo normal de procesos administrativos o misionales</t>
  </si>
  <si>
    <t>reprocesos para la reconstrucción de los documentos y/o expedientes perdidos o deteriorados</t>
  </si>
  <si>
    <t>Pérdida  de información o archivos del MJD por deficiente manejo de los documentos a cargo del GGD, al no tener un adecuado control de acceso y consulta, al igual que las condiciones para la conservación documental</t>
  </si>
  <si>
    <t>Pérdida de imagen institucional por la falta de oportunidad en la radicación y entrega de las comunicaciones oficiales, debido a la falta de controles en el seguimeinto a las radicaciones y tiólogías</t>
  </si>
  <si>
    <t>Falta de lineamientos para la generación de conocimeinto relacionada con la problmática de drogas</t>
  </si>
  <si>
    <t>Afectación en la toma de decisiones por parte del CNE, por el incumplimiento de la función de seguimiento a los compromisos establecidos en el Consejo Nacional de Estupefacientes, debido al deficiente seguimeinto de los mismos</t>
  </si>
  <si>
    <t>Pérdida de imagen institucional por el incumplimiento de los términos establecidos para responder PQRD a los grupos de interés del Ministerio, a partir del insuficiente seguimiento a la respuesta de las petiiones</t>
  </si>
  <si>
    <t>A.  Falta de compromiso y/o onocimiento por parte de servidores y contratistas para el correcto manejo del Sistema de Gestión Documental que soporta la gestión de las PQRSD</t>
  </si>
  <si>
    <t>Afectación presupuestal por inconsistencias en la liquidación de la nómina debido a la  inclusión de novedades extemporaneamente</t>
  </si>
  <si>
    <t>Afectación negativa en el logro de objetivos del Ministerio, al vincular servidores  sin el cunplimiento de los requisitos mínimos establecidos de formación y experiencia contenidos en el manual de funciones, por deficiente verificación de requisitos y competencias</t>
  </si>
  <si>
    <t>Bajo sentido de pertenencia a la entidad y bajo compromiso con su labor, por parte de los servidores del Ministerio de Justicia y del Derecho  por no establecer estrategias que mejoren su calidad de vida a través del Plan de Bienestar y Estímulos de la entidad.</t>
  </si>
  <si>
    <t>afectación en la gestiòn y desempeño de la entidad</t>
  </si>
  <si>
    <t xml:space="preserve"> perdida de imagen institucional</t>
  </si>
  <si>
    <t xml:space="preserve">Desconocimiento del SIG, </t>
  </si>
  <si>
    <t xml:space="preserve">debilidad en la socialización de los documentos de los procesos, falta de compromiso por parte de los responsables y equipos de cada proceso, </t>
  </si>
  <si>
    <t xml:space="preserve">falta de compromiso por parte de los responsables y equipos de cada proceso, </t>
  </si>
  <si>
    <t>Fuga de información confidencial o reservada por inadecuada gestión por parte de los proveedores de TI, al no establecer mecanismos de protección de la información institucional</t>
  </si>
  <si>
    <t xml:space="preserve">Errores por acción u omisión de la información en el registro de cuentas de proveedores o terceros
</t>
  </si>
  <si>
    <t xml:space="preserve">1.Inaxactitud en la presentación de la información contable y financiera. 2.Requerimientos por partes de entes de Control, posibles hallazgos de indole financiera.
</t>
  </si>
  <si>
    <t>1.Enviar comunicaciones mediante correos electrónicos a las dependencias generadoras de información contable y financiera con el fin de reiterar el cumplimiento de requisitos acorde al procedimiento de pagos.</t>
  </si>
  <si>
    <t>Area de Contabilidad y de  Tesorería</t>
  </si>
  <si>
    <t>Realizar la solicitud al área de Técnologias de la información acerca del desarrollo para la automatización y mejora continua del procedimiento de radicación, trámite y pago.</t>
  </si>
  <si>
    <r>
      <t xml:space="preserve">Evidencia : 
</t>
    </r>
    <r>
      <rPr>
        <sz val="11"/>
        <rFont val="Calibri"/>
        <family val="2"/>
        <scheme val="minor"/>
      </rPr>
      <t xml:space="preserve">1) Correos reirando el cumplimiento del procedimiento de pagos.                                                                                                                                                                                                                                 2) Correos solicitando la corrección de la información, cuando sea necesario.
3) Trazabilidad de las cuentas en el Formato Radicación de Cuentas F-GF-24-01 en donde se precisan las correcciones que eventualmente pueden tener las solicitudes radicadas.  </t>
    </r>
  </si>
  <si>
    <t>Pérdida de imagen institucional por presentar  y publicar información inexacta o inoportuna en los Estados Financieros al no depurar y conciliar las cuentas de acuerdo con la normativa vigente</t>
  </si>
  <si>
    <t>Presentación extemporánea de la información contable a la Contaduría General de la Nación y demas partes interesadas.</t>
  </si>
  <si>
    <t>1.Perdida de credibilidad, confiabilidad y fiabilidad en la información Contable y Financiera.2 Requerimientos por parte de los entes de control</t>
  </si>
  <si>
    <t>El area contable y financiera debe solicitar mediante correo electrónico a todas  las dependencias generadoras de información contable y financiera del MJD, la información necesaria para la elaboración y presentación de los estados financieros y contables dentro de los plazos establecidos en el procedimiento de Análisis, depuración y conciliación de cuentas P-GF-10 y/o el Calendario de Recepción de Trámites ante el GGFC de la vigencia. 
Evidencia: 
1) Correo electrónico solicitando la información</t>
  </si>
  <si>
    <t>Pérdida de recursos por falta de registro oportuno de los hechos económicos asociados al pago por cuotas frente al otorgamiento de cada una las licencias, al no llevar un estricto control sobre el manejo financiero del pago de licencias</t>
  </si>
  <si>
    <t>Pérdida de conocimiento institucional por la alta rotación de personal y no contar con mecanismos para capturar y materializar el conocimiento tácito</t>
  </si>
  <si>
    <t>El Grupo de Calidad, anualmente, y con el fin de mantener el inventario del conocimeotno tácito y que sirva de toma de decisiones al equipo directivo, realizará el levantamiento del conocimiento tácito por dependencia y lo publicará en la intranet para consulta general. En cao de no realizar la identificación del conocimiento tácito se utilizará el dea año inmediatemente anterior. Evidencia: Mapa de conocimeinto institucional</t>
  </si>
  <si>
    <t xml:space="preserve">Debilidades en los controles de seguridad para el registro de ingreso y salida de personal de las instalaciones  </t>
  </si>
  <si>
    <t>Perdida del monitoreo visual del ingreso de personas ajenas o visitantes a la entidad.</t>
  </si>
  <si>
    <t>Ausencia de los protocolos generando vulnerabilidad del sistema de seguridad del MJD.</t>
  </si>
  <si>
    <t xml:space="preserve">La empresa de vigilancia cuando detecte una falla en el sistema de circuito cerrado de TV, para que entre las partes (MJD y Empresa de Vigilancia) se susbsane la deficiencia lo más pronto posible, informara inmediatamente al MJD a través de la coordinación administrativa el evento detectado. Si al momento de solucionar la falla no es posible con los equipos actuales, la empresa de vigilancia realizará el cambio del equipo averiado por un equipo diferente mientras se repara el mismo. Evidencia: Informe trimestral del mantenimiento del circuito cerrado de T.V. y/o informes
</t>
  </si>
  <si>
    <t>La coordinación del grupo de gestión administrativa  cada vez que haya cambio o renovación de la empresa de vigilancia a fin de fortalecer las actividades de vigilancia y seguridad contenidas en la Guía de Servicios Administrativos, socializará este documento con el supervisor de la empresa de vigilancia, colocando especial enfásis en las actividades que se deban realizar de forma permanente (revisión de bolsos, solicitud de identificación, registro de equipos, entre otras) En el momento de la socialización quedará el compromiso de que el supervisor debe replicar el ejercicio con todo el personal de vigilancia asignado al MJD, en un plazo no mayor a dos semanas. Evidencia: Acta de asistencia o correo electrónico  del proceso de socialización Evidencia:  informes del mantenimiento a las cámaras de seguridad,  informes de  supervisión contrato de vigilancia, informes de la empresa  de vigilancia, comunicaciones, encuesta de satisfacción .</t>
  </si>
  <si>
    <t xml:space="preserve">Realizar seguimiento al  mantenimiento del sistema de cámaras de seguridad instalado por la empresa de vigilancia. </t>
  </si>
  <si>
    <t>Ivonne Bechara</t>
  </si>
  <si>
    <t xml:space="preserve">Hacer seguimiento y control al cumplimiento de las obligaciones contractuales definidas en los estudios previos y los protocolos de seguridad definidos en la guia de servicios administrativos. </t>
  </si>
  <si>
    <t>Informes de supervisión y/o correos electrónicos.</t>
  </si>
  <si>
    <t xml:space="preserve"> manejo inadecuado de los bienes muebles</t>
  </si>
  <si>
    <t xml:space="preserve">Pérdida de elementos o interrupción de la prestación de lso servicios de la entidad por ataques delincuenciales al interior del MJD, debido a deficientes controles para el ingreso y salida </t>
  </si>
  <si>
    <t>Instalaciones que no cumplen con requisitos legales ejes SST</t>
  </si>
  <si>
    <t>Interrupción de los servicios de la Entidad por fallas en el servicio de ascensores, redes eléctricas e hidráulicas y de estabilidad estructural del edificio, debis al deficiente mantenimiento</t>
  </si>
  <si>
    <t>Retraso o suspensión en el normal desarrollo de las actividades del MJD.</t>
  </si>
  <si>
    <t>Daños y haberías en los equipos de computación, comunicación y otros. Suspensión del servicio de la entidad por quedar inhabilitado el edificio.</t>
  </si>
  <si>
    <t>Falta de abastecimiento de agua y riesgo de daños en los equipos</t>
  </si>
  <si>
    <t>Posibles afectaciones a la integridad física de funcionarios y contratistas.</t>
  </si>
  <si>
    <t>La coordinación del grupo de gestión administrativa  anualmente a fin de evitar suspensión del servicio o daños en los equipos, contratara y realizara supervisión del mantenimiento preventivo y correctivo de estos últimos (ascensores, eléctricos e hidráulicos). Si el contrato tarda más de lo estimado en concretarse, se acudira al personal de mantenimiento interno para el cumplimiento de las obligaciones relacionadas mientras se suscribe el mismo, granatizando así la prestación efectiva del servicio y evitar daños a los equipos. Evidencia: Contrato de Mantenimiento
Informes de Supervisión
Actas-informes de supervisión o minutas de Visita</t>
  </si>
  <si>
    <t>El coordinador del grupo de gestión administrativa  cada vez que sea informado de un mantenimiento por parte de las ESP que implique suspensión del servicio, a fin de evitar suspensión de las labores del MJD o daños en los equipos, coordinara con la ESP la posibilidad de realizar el mantenimiento en la fecha estipulada o por el contrario solicitar su aplazamiento, teniendo en cuenta las necesidades del servicio. Si luego de analizada la fecha por parte del MJD y en el caso de que la suspensión por parte de la ESP no se deba llevar a cabo el coordinador del grupo de gestión administrativa se comunicará con la ESP, de forma telefonica e inmediata para reprogramar este, de no recibir respuesta debera recurrir a los demas canales de atención hasta tener una respuesta positiva.  Evidencia: Comunicaciones  
Pronunciamiento del MJD de forma verbal o escrita con la ESP para reprogramar la fecha.  inicio de un estudio de vulnerabilidad sismica y del reforzamiento estructural</t>
  </si>
  <si>
    <t>El equipo de mantenimiento interno del MJD trimestralmente a fin de evitar daños en los equipos, realizara mantenimiento a los tanques de agua y la planta electrica, revisando cualquier situación que sea necesaria corregir y detectando posibles fallas Si al momento de realizar el mantenimiento detecta alguna falla en los equipos deberá subsnar la misma lo más pronto posible e informar esta al coordinador del grupo de gestión administrativa. Evidencia: Registro fotografico del mantenimiento a planta electrica y tanques de agua, Informes de supervisión y/o reportes</t>
  </si>
  <si>
    <t>Verificar una vez al año el estado estructural de las edificaciones del MJD</t>
  </si>
  <si>
    <t xml:space="preserve">Realizar seguimiento al mantenimiento preventivo y correctivo realizado a los equipos, en desarrollo de los contratos suscritos para los Asensores; Lavado y desinfección de Tanques de Agua - Planta Electrica, con el fin de garantizar la prestación efectiva de los servicios en el MJD. </t>
  </si>
  <si>
    <t>Juan Carlos Polanco GGA</t>
  </si>
  <si>
    <t xml:space="preserve">Coordinar de manera oportuna con las empresa prestadoras de servicios públicos (ENEL y EAAB) la sus pensión de servicios cuando se requiera para adelantar mantenimientos o arreglos en las redes hidraulicas o electricas de manera que no se suspendan las actividades normales del Ministerio.  Procurar que los arreglos se realicen en horarios no laborales </t>
  </si>
  <si>
    <t xml:space="preserve">Realizar mantenimiento a los tanques de agua y a  la planta electrica, revisando cualquier situación que sea necesaria corregir y detectando posibles fallas en forma oportuna,  con el fin de garantizar la prestación efectiva del servicio. </t>
  </si>
  <si>
    <t>Realizarr un estudio de vulnerabilidad de las estructuras de las edificaciones del MJD</t>
  </si>
  <si>
    <t xml:space="preserve">Estudio de vulnerabilidad </t>
  </si>
  <si>
    <t>Fallas en la seguridad y en la movilidad de la alta dirección por iIndisponibilidad del servicio de transporte, por la deficiente programación de mantenimientos y control de operaciones</t>
  </si>
  <si>
    <t>Falta de programación y monitoreo en los itinerarios de servicio de escolta por parte del personal asignado a los altos funcionarios (Ministro y Viceministros del MJD)</t>
  </si>
  <si>
    <t>Alteraciones del órden público en el perímetro del Distrito Capital y Nacional</t>
  </si>
  <si>
    <t>Exposición de los protegidos por incumplimiento en los tiempos programados</t>
  </si>
  <si>
    <t>Riesgo en la integridad del personal protegido</t>
  </si>
  <si>
    <t>Fallas mecánicas de los automotores por incumplimiento de las obligaciones del contratista</t>
  </si>
  <si>
    <t>Falta de programación y monitoreo en los itinerarios</t>
  </si>
  <si>
    <t>Diseñar e implementar los tableros de control de recorridos de los vehículos</t>
  </si>
  <si>
    <t xml:space="preserve">Planillas de recorridos </t>
  </si>
  <si>
    <t>Aplicación de las medidas de seguridad implementadas en el Plan Vial de Seguridad</t>
  </si>
  <si>
    <t>Correos, comunicaciones, actas de reuniones</t>
  </si>
  <si>
    <t xml:space="preserve">Julián Gonzalez </t>
  </si>
  <si>
    <r>
      <t>Julián  Gonzale</t>
    </r>
    <r>
      <rPr>
        <b/>
        <sz val="11"/>
        <rFont val="Arial"/>
        <family val="2"/>
      </rPr>
      <t xml:space="preserve">z  </t>
    </r>
  </si>
  <si>
    <t xml:space="preserve">Julián Gonzalez  </t>
  </si>
  <si>
    <t>Pérdida de recursos por retrasos o incumplimientos en la suscripción y/o ejecución de los contratos por deficiente elaboración de los documentos previos.</t>
  </si>
  <si>
    <t>Falta de oportunidad en la elaboración y entrega de la documentación para la suscripción del contrato</t>
  </si>
  <si>
    <t>Incumplimientos técnicos, legales y/o financieros en la elaboración de estudios previos y documentos soporte.</t>
  </si>
  <si>
    <t>Debilidad en la programación y seguimiento del Plan Anual de Adquisiciones de la entidad</t>
  </si>
  <si>
    <t>Fallas en el proceso de evaluación financiera, jurídica y técnica durante la adquisición de bienes y servicios</t>
  </si>
  <si>
    <t>El abogado del GGC encargado del proceso, cada vez que se evalúe un proceso, con el fin de verificar el cumplimiento de los requistios establecidos en el pliego de condiciones revisa que la evaluación técnica, jurídica y financiera cumpla con lo establecido. En caso de que la evaluacion no cumpla con lo establecido, se devolverá mediante correo electrónico a la dependencia responsable para que realice los ajustes. 
Como evidencia: correos electrónicos o la evaluación firmada publicada en Secop II</t>
  </si>
  <si>
    <t xml:space="preserve">Devolución de la evaluación a la dependencia para realizar los ajustes y cumplir con los establecido en el pliego de condiciones </t>
  </si>
  <si>
    <t>Correo en donde se solicitó los ajustes  (en los casos que aplique) o la evaluación firmada publicada en Secop II</t>
  </si>
  <si>
    <t>Hasta el momento no se ha requerido información adicional al peticionario del radicado MJD-EXT21-0055182, para la solicitud MJD-EXT22-0000776 que se encuentra en trámite, y con el fin de subsanar el riesgo, se esta gestionando la actualización del procedimiento de indulto, en el cual se corrigen fallas a nivel de forma del documento, se ajusta el objetivo, se ajustan las políticas de operación, se introducen controles para la gestión 
del procedimiento y se oficializa el uso del formato F-CR-16-01 “Hoja de Ruta del expediente” dentro del Sistema Integrado de Gestión. 
A corte de abril de 2023 se recibieron tres (3) solicitudes de tramite de indulto mediante los radicados MJD-EXT23-0014397  MJD-EXT23-0017568 MJD-EXT23-0017586 MJD
Hasta el momento no se ha materializado el riesgo</t>
  </si>
  <si>
    <t xml:space="preserve">El área de central de cuentas, una vez reciba la solicitud de pago y/o cuenta de cobro, debe verificar la completitud de los requisitos para pagos contemplados en el procedimiento, a fin de evitar errores en la liquidación de obligaciones. En caso de encontrar información faltante o inconsistente, devuelve la solicitud a la dependencia responsable, con el fin de solicitar la corrección y poder continuar con su tramite de pago.
Evidencia: 
1) Correos solicitando la corrección de la información 
2) Trazabilidad de las cuentas en el Formato Radicación de Cuentas F-GF-24-01 en donde se precisan las correcciones que eventualmente pueden tener las solicitudes radicadas.  
En caso de que el área contable haya remitido la solicitud de pago al área de tesorería y esta área encuentre inconsistencias, el área de tesorería devolverá al área contable dicha solicitud para su corrección. 
Evidencia: 
3) Correos solicitando la corrección de la información. </t>
  </si>
  <si>
    <t>Durante el 1er cuatrimestre de 2023 no se materializó el riesgo debido a que  los controles han sido efectivos.  Se aplicaron los controles de revisión de la totalidad de los documentos que soportan las respectivas cuentas de cobro. De igual forma se realizó el diligenciamiento del Formato de Planilla de control de radicación de cuentas. Se adjuntan las evidencias correspondientes a los controles establecidos.</t>
  </si>
  <si>
    <t>Evidencias: 1) Solicitud del aplicativo por parte del GGFC al área de Tecnologías de la Información.  En relación con la acción de solicitar un aplicativopara la automatización de radicación d ecuentas se informa que en el mes d eenero/23 se reiteró la solicitud de éste requerimeinto al Dirección de  Tecnología.  Se adjunta memorando</t>
  </si>
  <si>
    <t xml:space="preserve">Durante el 1er cuatrimestre de 2023 no se materializó el riesgo debido a que  los controles han sido efectivos. Se aplicaron los controles de solicitud de la información, revisión y registro de las conciliaciones respectivamente. Se adjuntan las evidencias </t>
  </si>
  <si>
    <t>Sanciones al Ministerio por la constitución de reservas no justificadas debido a la  falta de gestión por parte de los supervisores o del Grupo de Gestión Contractual</t>
  </si>
  <si>
    <t>Deficiente seguimiento y control por parte de los supervisores
Demoras en la liquidación de los contratos</t>
  </si>
  <si>
    <t xml:space="preserve">
Hallazgos administrativos por falta de la CGR
Deficiente ejecución presupuestal
Posible reducción del presupuesto por malas prácticas en la constitución de las reservas
 </t>
  </si>
  <si>
    <t xml:space="preserve">1. El coordinador del GGFC mensualmente remite a las dependencias ejecutoras de recursos memorando sobre la ejecución vigente y el estado de las reservas presupuestalees con el fin de mejorar la ejecución presupuestal. En el caso de no poderse enviar memorando se envía correo electrónico informando sobre el estado de la ejecución.
Como evidencia queda el memorando o el correo electrónico
</t>
  </si>
  <si>
    <t xml:space="preserve">1. Capacitar a los enlaces financieros de las dependencias en el manejo de las reservas presupuestales </t>
  </si>
  <si>
    <t>31/11/2023</t>
  </si>
  <si>
    <t>Coordinador del GGFC</t>
  </si>
  <si>
    <t>Lista de asistencia o grabación teams</t>
  </si>
  <si>
    <t xml:space="preserve">Durante el 1er cuatrimestre de 2023 no se materializó el riesgo debido a que  los controles han sido efectivos. Se aplicaron los controles de enviar mensualmente a las dependencias ejecutoras de recursos memorando o correo electrónico sobre la ejecución vigente y el estado de las reservas presupuestalees con el fin de mejorar la ejecución presupuestal. Se adjuntan las evidencias
</t>
  </si>
  <si>
    <t>2.  Remitir a las dependencias ejecutoras de recursos memorando sobre la ejecución vigente y el estado de las reservas presupuestales</t>
  </si>
  <si>
    <t>Memorando o correo electrónico</t>
  </si>
  <si>
    <t xml:space="preserve">2. El ordenador del gasto, la  OAP y el GGFC mensualmente realiza reunión con las dependencias ejecutoras con el fin de hacer seguimiento a la ejecución y a las reservas presupuestales con el fin de mejorar la ejecución presupuestal. Para fortalecer el seguimiento a las reservas presupuestales se elabora informe para dar a conocer los saldos que se presentan en los registros presupuestales  </t>
  </si>
  <si>
    <t>3. Realizar reunión con las dependencias ejecutoras con el fin de hacer seguimiento a la ejecución y a las reservas presupuestales con el fin de mejorar la ejecución presupuestal.</t>
  </si>
  <si>
    <t>Actas</t>
  </si>
  <si>
    <t>Avance cualitativo: Los controles han sido efectivos y este riesgo no se ha materializado, en razón a que se realizaron los seguimientos trimestrales a los convenios o acuerdos de intercambio de información, verificando el cumplimiento de las condiciones pactadas dentro del mismos.
evidencias: Informes de seguimiento de ejecución de actividades. (Informes con la procuraduria y el INPEC)</t>
  </si>
  <si>
    <t xml:space="preserve">Avance cualitativo: Los controles han sido efectivos y este riesgo no se ha materializado, en razón a que se realizaron los seguimientos trimestrales a los convenios o acuerdos de intercambio de información, verificando el cumplimiento de las condiciones pactadas dentro del mismos.
evidencias: Informes de seguimiento de ejecución de actividades. </t>
  </si>
  <si>
    <t>Avance cualitativo:  Se tiene programado para el siguiente trimestre realizar socialización de lineamientos.</t>
  </si>
  <si>
    <t xml:space="preserve">Avance cualitativo: A la fecha no se ha materializado este riesgo, como seguimiento se cuentan con las etapas precontractuales de los siguientes procesos : 
1. Adición OC 101656
2. Proceso 2023 - Renovación Office 365
3. Proceso 2023 - Renovación Aranda
4. Orden de compra conectividad sede Centro
</t>
  </si>
  <si>
    <t xml:space="preserve">Avance cualitativo: para el primer trimestre no se ha materializado el riesgo, como seguimiento en este periodo se ha venido trabajando  un mantenimiento a traves de  la orden de compra numero OC11656 , se contrato  el mantenimiento para la vigencia 2023 (Mantenimiento preventivo y correctivo ) cubriendo 2 mantenimientos preventivos en el año. 
El pirmer mantenimiento inicio el 3 de abril y finaliza el 28 de abril. 
evidencias: 
1. Se adjunta orden de compra numero OC101656
2. Se adjunta las hojas de vida de los equipos a los que se les realizo el mantenimiento 
3. Informes  mensual de la mesa de ayuda, correspondiente al perimer cuatrimestre </t>
  </si>
  <si>
    <t xml:space="preserve">Avance cualitativo: A la fecha no se ha materializado el riesgo, para este periodo se generó y cumplió plan de seguridad de la información para el primer trimestre de 2023 y se generó un nuevo plan para el segundo trimestre. 
Se avanzó en la actualización del instrumento de autoevaluación del MSPI de MinTIC, con corte a diciembre de 2022 (en un 50%, de acuerdo con el plan). 
Evidencias:
 1 Plan de seguridad de la información Trimestre I de 2023, con avance.  
2 Plan de seguridad de la información Trimestre II de 2023 
3 Instrumento de autoevaluación del MSPI en actualización para el Trimestre I, con corte a 2022. 
 </t>
  </si>
  <si>
    <r>
      <rPr>
        <sz val="11"/>
        <color rgb="FF000000"/>
        <rFont val="Abadi"/>
      </rPr>
      <t>1.El profesional designado como supervisor  y los que hacen parte del equipo de trabajo encargados del control y seguimiento de los contratos de mantenimiento y/o actualización de los bienes o servicios tecnologicos, anualmente a fin de evitar fallas en la prestación del servicio, en el desempeño de los equipos y mantener la seguridad  informatica actualizada, programa y hace seguimiento a todos los mantenimientos de los bienes tecnologicos exceptuando los servicios e infraestructura contratados con terceros, asi como las condiciones en las cuales se deba surtir el proceso de actualización de los servicios. Si en el momento de hacer la programación se identifica un bien o servicio como infraestructura critica (interno), se debera estructurar un mantenimiento o actualizacion con mayor frecuencia a la establecida normalmente.</t>
    </r>
    <r>
      <rPr>
        <b/>
        <sz val="11"/>
        <color rgb="FF000000"/>
        <rFont val="Abadi"/>
      </rPr>
      <t xml:space="preserve"> Evidencia:</t>
    </r>
    <r>
      <rPr>
        <sz val="11"/>
        <color rgb="FF000000"/>
        <rFont val="Abadi"/>
      </rPr>
      <t xml:space="preserve"> Programación de los mantenimientos con las condiciones ( exceptuando servicios e infraestructura contratados con terceros)  e Informes de supervisión de los contratos relacionados. </t>
    </r>
  </si>
  <si>
    <r>
      <rPr>
        <sz val="11"/>
        <color rgb="FF000000"/>
        <rFont val="Abadi"/>
      </rPr>
      <t>4.La persona designada por la Dirección de Tecnologías y Gestión de la Información en Justicia, anualmente a fin de reducir la posibilidad de errores humanos al momento de ejectutar actividades relacionadas con herramientas tecnologicas y fortalecer el conocimiento de las mismas, diseña el plan de uso y apropiación de TIC incluyendo temas de capacitación y fortalecimiento de habilidades en el uso de sistemas y software del MJD Al momento de construir el plan de uso y apropiación, este debera incluir a todo el personal del MJD sin importar la forma de vinculación, así mismo se deberá tener en cuenta los incidentes elevados en mesa de ayuda para la construcción del mismo y colocar especial énfasis en aquellos usuarios que han sido autores de las mismas. Así mismo cuando se realice la actualización o cambio de una herramienta tecnológica que sea de uso común a todo el Ministerio, se deberán programar una serie de capacitaciones que logre la mayor cobertura posible.</t>
    </r>
    <r>
      <rPr>
        <b/>
        <sz val="11"/>
        <color rgb="FF000000"/>
        <rFont val="Abadi"/>
      </rPr>
      <t xml:space="preserve">  Evidencia:</t>
    </r>
    <r>
      <rPr>
        <sz val="11"/>
        <color rgb="FF000000"/>
        <rFont val="Abadi"/>
      </rPr>
      <t xml:space="preserve"> Plan de uso y apropiación, Grabación de las capacitaciones, piezas.</t>
    </r>
  </si>
  <si>
    <r>
      <rPr>
        <sz val="11"/>
        <color rgb="FF000000"/>
        <rFont val="Abadi"/>
      </rPr>
      <t xml:space="preserve">5. La Dirección de Tecnologías - Uso y apropiación minimo una vez al año, a fin de fortalecer el conocimiento y práctica de los lineamientos del MJD en lo referente a recursos informáticos, socializara y sensibilizara a las personas vinculadas al MJD en la políticas de Uso de los Recursos Informáticos y Seguridad de la Información. Cuando se presente la actualización de la política o ingreso de nuevo personal se requerirá realizar el proceso completo de socialización y sensibilización. </t>
    </r>
    <r>
      <rPr>
        <b/>
        <sz val="11"/>
        <color rgb="FF000000"/>
        <rFont val="Abadi"/>
      </rPr>
      <t xml:space="preserve"> Evidencia:</t>
    </r>
    <r>
      <rPr>
        <sz val="11"/>
        <color rgb="FF000000"/>
        <rFont val="Abadi"/>
      </rPr>
      <t xml:space="preserve"> Piezas o material utilizado para la socialización y divulgación
a las sensibilizaciones. </t>
    </r>
  </si>
  <si>
    <t>Avance cualitativo: A la fecha no se ha materializado el riesgo, para este periodo , Se generó y cumplió plan de seguridad de la información para el primer trimestre de 2023 y se generó un nuevo plan para el segundo trimestre. 
Se avanzó en la actualización del instrumento de autoevaluación del MSPI de MinTIC, con corte a diciembre de 2022 (en un 50%, de acuerdo con el plan). 
Evidencias: Evidencias:  
1 Plan de seguridad de la información Trimestre I de 2023, con avance.  
2 Plan de seguridad de la información Trimestre II de 2023 
3 Instrumento de autoevaluación del MSPI en actualización para el Trimestre I, con corte a 2022.</t>
  </si>
  <si>
    <t xml:space="preserve">Durante el primer cuatrimestre se realizó la planificación de los procesos de sensibilización y capacitación, integrado a la estrategia de uso y apropiación. 
Se inicio el proceso de sensibilizaciones de Transformación digital, Gobierno digital y seguridad de la información, elementos fundamentales para fortalecer las habilidades y conocimientos de los funcionarios y contratistas del MJD.   
Evidencias:  
1. Informe general del desarrollo de la estrategia de uso y apropiación  
2. Presentación personaje liga de la justicia 
3. PLAN DE CAPACITACIÓN  
4. CRONOGRAMA DE SENSIBILIZACIÓN  
 </t>
  </si>
  <si>
    <t>Avance cualitativo:  Para el primer cuatrimestre de la vigencia 2023, la DTGIJ no ha realizado actualizaciones sobre la politica de la políticas de Uso de los Recursos Informáticos y Seguridad de la Información, por ende no se han desarrollado capacitaciones ni socializaciones.</t>
  </si>
  <si>
    <t xml:space="preserve">Carencia de evaluación y control institucional que impiden el mejoramiento continuo, por incumplimiento de la planeación de las auditorías internas en la entidad. </t>
  </si>
  <si>
    <t>Avance cualitativo: Para el primer trimestre de la vigencia 2023 se registra la radicacion de 4 contratos para proveedores.  por parte de la Oficial de Seguridad se envia correo a los supervisores  solicitando la verificacion de los acuerdos de confidencialidad sobre estos contratos y sus firmas. 
Evidencias:  
1. Informe de contratación DTGIJ
2. Correo - RV Solicitud de acuerdos de confidencialidad firmados.
3. Acuerdo de confidencialidad OC 82803 de 2021,  vigente hasta el 31 de julio de 2023</t>
  </si>
  <si>
    <t>El riesgo no se ha materializado y se aplican los controles relacionados con la entregadel puesto de trabajo y el diligenciamiento del formato de entrega, adicionalmente se inició el trámite para la actualización del mpa de conocimiento tácito y explícito, el cual se realizó en el marco de la capacitación de producto no conforme</t>
  </si>
  <si>
    <t xml:space="preserve">El Riesgo no se ha materializado debdio aque el control ha sido efectivo, con el seguimiento realizado  
Se brindaron catorce (14) asistencias técnicas durante el primer  cuatrimestre a fin de fortalecer los criterios respecto al tratamiento de la información documental </t>
  </si>
  <si>
    <t xml:space="preserve">Se parametrizaron una nueva versión de las  TRD  en el aplicativo SGDEA
Para este primer cuatrimestre se envio correo al coordinador del Grupo Administrativo con la información de las personas que tienen acceso al Archivo de Gestión y el Archivo Central de Paloquemao </t>
  </si>
  <si>
    <t xml:space="preserve">Se ha venido implementado los planes de conservación preventiva por parte del GGD.
Para este cuatrimestre se han realizado 2 capacitaciones en materia de conservación documental
Se realiza la inspección de instalaciones físicas y sistemas de almacenamiento del archivo central
Se realiza seguimiento de las actividades de limpieza de áreas y documentos
Se realizo el saneamiento ambiental de la bodega de archivo central el día 18 de marzo de 2023.
Está pendiente la entrega del certificado de saneamiento por parte de la empresa prestadora del servicio
Se envia ficha técnica para revisión correspondiente a la solicitud del servicio de calibración de los dataloggers 
Respecto al estudio de vulnerabilidad  aplicadoen el edificio calle 53 y la bodega de paloqueamo, el Grupo de Gestion Administrativa informa que por un posible incumplimiento del contratista no se logro tener los estudios de vulneravilidad solicitados </t>
  </si>
  <si>
    <t>El Riesgo no se ha materializado debdio aque el control ha sifo efectivo 
Durante el primer cuatrimestre se recibieron tres (03) transferencias documentales y se recibieron tres (03) prorrogas de entrega de Transferencias</t>
  </si>
  <si>
    <t xml:space="preserve">No se ha materializado el riesgo y los controles han sido efectivos. El Grupo de Gestión Documetal realiza controles internos para validar en tiempo real al 100% de la radicación recibida en la Entidad a través de la herramienta Power BI </t>
  </si>
  <si>
    <t>El Grupo de Servicio al Ciudadano, realizara una campaña trimestral de gestión del cambio, para enfatizar la importancia del cumplimiento de terminos y demas lineamientos en gestión de PQRSD, para el cumplimiento del nucleo esencial del derecho de petición.</t>
  </si>
  <si>
    <t>El Grupo de Servicio al Ciudadano quincenalmente, con el fin de generar alertas oportunas a las dependencias de la Entidad y en su rol de segunda línea de defensa, enviará correo electrónico a todas las dependencias que tengan PQRS asignadas, sobre próximos vencimientos de términos para responder. En caso de que el destinatario se encuentre en alguna situación administrativa que signifique su no lectura, se remitirá el reporte al personal asignado por el enlace. Evidencia:  Reporte de EPX enviados a los enlaces o al personal asignado según el caso Se encuentra contenido en Gestión de requerimientos de grupos de interés</t>
  </si>
  <si>
    <t>Se solicita modificacion de este control de acuerdo a lo establecido en la casilla O58</t>
  </si>
  <si>
    <t xml:space="preserve">
El Coordinador del Grupo de Servicio al Ciudadano genera alertas sobre las PQRDS próximas a vencer y envía reporte por correo electrónico a enlaces de cada una de las dependencias con el fin que realicen el seguimiento respectivo y sean respondidas con oportunidad. (Se solicita modificación para que este control sea quincenal)</t>
  </si>
  <si>
    <t>Quincenal</t>
  </si>
  <si>
    <t>El riesgo no se ha materializado, los controles han sido efectivos. Riesgo se mantiene. Se evidencia capacitacion en PQRSD realizada por el GGD  a el GSC</t>
  </si>
  <si>
    <t>El riesgo no se ha materializado, los controles han sido efectivos. Se evidencia capacitaciones realizadas del GGD  a el GSC</t>
  </si>
  <si>
    <t>El riesgo no se ha materializado, los controles han sido efectivos. Se anexa evidencia de correos electronicos enviados por las diferentes dependencias.</t>
  </si>
  <si>
    <t>El riesgo no se ha materializado, los controles han sido efectivos. Se socializa informe 4 trimestre 2022 con los resultados de cada una de las dependencias.</t>
  </si>
  <si>
    <t>El riesgo no se ha materializado, los controles han sido efectivos. Se socializa alertas de PQRSD para ser tenidas en cuenta por las areas.</t>
  </si>
  <si>
    <t>El riesgo no se ha materializado, los controles han sido efectivos. Se socializa informe 4 trimestre 2022  con los resulatados de cada una de las dependencias.</t>
  </si>
  <si>
    <t>1.- RIESGO:  Deterioro de la imagen institucional por el incumplimiento de los términos procesales establecidos en la Ley para presentar las intervenciones en los Procesos de control de constitucionalidad y legalidad ante la Corte Constitucional y el Consejo de Estado, por la falta de control en la revisión de las notificaciones o publicaciones de estas entidades.
Durante el primer cuatrimestre de 2023 los controles han sido efectivos:
1.1.- Se han aplicado sin fallas los controles de supervisión de los términos en los procesos de competencia del Ministerio de Justicia y del Derecho en que se debe intervenir por ser parte el Ministerio (Consejo de Estado) o en que ha sido notificado para intervenir (Corte Constitucional), porque la funcionaria designada luego de fijadas en lista las demandas de la Corte Constitucional o notificadas las del Consejo de Estado ha confirmado los términos de los procesos para evitar el incumplimiento de los términos en los procesos en los que se vaya a intervenir.
Evidencias:
(Se anexa vínculo al  control del cuatrimestre) 
https://minjusticiagovco-my.sharepoint.com/:f:/r/personal/dirordenamiento_juridico_minjusticia_gov_co/Documents/P_SeguridadJuridica/DefensaOrdJuridico/Defensa%202023/Vencimientos%202023?csf=1&amp;web=1&amp;e=ZEDzfm
1.2.- Se han aplicado sin fallas los controles para elaborar oportunamente el concepto de no intervención de un proceso cuando así se ha determinado por la Dirección, porque la abogada o abogado designado ha proyectado el concepto interno y motivado de no intervención para la firma de la Dirección cuando se ha decidido no intervenir en un proceso de Corte Constitucional dentro del término establecido para ello.
Evidencias:
(Se anexan vínculo a memorandos)
https://minjusticiagovco-my.sharepoint.com/:f:/r/personal/dirordenamiento_juridico_minjusticia_gov_co/Documents/P_SeguridadJuridica/DefensaOrdJuridico/Defensa%202023/Conceptos%20de%20no%20intervenci%C3%B3n%202023?csf=1&amp;web=1&amp;e=G8xuAA
1.3.- En los procesos de competencia del Ministerio de Justicia y del Derecho en que se debe intervenir por ser parte el Ministerio (Consejo de Estado) o en que ha sido notificado para intervenir (Corte Constitucional) no se han presentado fallas en los sistemas tecnológicos de apoyo necesarios para el desarrollo de las actividades, porque la abogada o abogado designado en cada proceso ha proyectado la intervención para la firma de la dirección, con antelación suficiente a la fecha de vencimiento de términos. 
Evidencias: 
(Se anexa vínculo a salas virtuales de discusión en Teams.)
https://minjusticiagovco-my.sharepoint.com/:f:/r/personal/dirordenamiento_juridico_minjusticia_gov_co/Documents/P_SeguridadJuridica/DefensaOrdJuridico/Defensa%202023/Salas%20de%20discusi%C3%B3n%202023?csf=1&amp;web=1&amp;e=qkenoe
1.4.- No se han presentado situaciones de olvido por parte del funcionario designado, porque la funcionaria designada luego de fijadas en lista las demandas de la Corte Constitucional o notificadas las demandas o actuaciones del Consejo de Estado ha confirmado los términos de los procesos para evitar el incumplimiento de los términos en los procesos en los que se vaya a intervenir.
Evidencia: 
Formato de control de vencimientos de términos procesales de Corte Constitucional y Consejo de Estado F-SJ-02-03 
https://minjusticiagovco-my.sharepoint.com/:f:/r/personal/dirordenamiento_juridico_minjusticia_gov_co/Documents/P_SeguridadJuridica/DefensaOrdJuridico/Defensa%202023/Vencimientos%202023?csf=1&amp;web=1&amp;e=tAjF6j</t>
  </si>
  <si>
    <t xml:space="preserve">2.- RIESGO:  Falta de oportunidad en las intervenciones por fallas en el seguimiento y verificación de los pronunciamientos judiciales de fondo de la Corte Constitucional y el Consejo de Estado, que incidan en el ordenamiento jurídico y sean proferidos en los procesos de control de constitucionalidad y legalidad en que interviene la DDDOJ, generando intervenciones fuera de los términos.
Durante el primer cuatrimestre de 2023 los controles han sido efectivos:
2.1.- El seguimiento procesal de los procesos se ha hecho de forma oportuna, porque la funcionaria y funcionario designados actualiza los formatos de seguimiento procesal de la Corte Constitucional y del Consejo de Estado semanalmente, excepto durante la vacancia judicial, para evitar que el seguimiento no se realice de forma oportuna. 
Evidencia: 
(Se anexa vínculo a Formatos de seguimiento procesal de la Corte Constitucional y del Consejo de Estado (F-SJ-02-01 y F-SJ-02-02))
CORTE: https://minjusticiagovco-my.sharepoint.com/:f:/r/personal/dirordenamiento_juridico_minjusticia_gov_co/Documents/P_SeguridadJuridica/DefensaOrdJuridico/Defensa%202023/Cuadros%20procesos%20Corte%202023?csf=1&amp;web=1&amp;e=x7xzXR
CONSEJO: https://minjusticiagovco-my.sharepoint.com/:f:/r/personal/dirordenamiento_juridico_minjusticia_gov_co/Documents/P_SeguridadJuridica/DefensaOrdJuridico/Defensa%202023/Cuadros%20procesos%20Consejo%202023?csf=1&amp;web=1&amp;e=RtGpH4
2.2.- El seguimiento procesal de los procesos se ha hecho de forma oportuna, porque la funcionaria y funcionario designados semanalmente actualizan los formatos de seguimiento procesal de la Corte Constitucional y el Consejo de Estado, excepto durante la vacancia judicial, para evitar fallas en el seguimiento y verificación de los pronunciamientos judiciales de fondo. 
Evidencia:
(Se anexa vínculo a Formatos de seguimiento procesal de la Corte Constitucional y del Consejo de Estado (F-SJ-02-01 y F-SJ-02-02))
CORTE: https://minjusticiagovco-my.sharepoint.com/:f:/r/personal/dirordenamiento_juridico_minjusticia_gov_co/Documents/P_SeguridadJuridica/DefensaOrdJuridico/Defensa%202023/Cuadros%20procesos%20Corte%202023?csf=1&amp;web=1&amp;e=ZI2ZP4
CONSEJO: https://minjusticiagovco-my.sharepoint.com/:f:/r/personal/dirordenamiento_juridico_minjusticia_gov_co/Documents/P_SeguridadJuridica/DefensaOrdJuridico/Defensa%202023/Cuadros%20procesos%20Consejo%202023?csf=1&amp;web=1&amp;e=pSmxdC
2.3.- La funcionaria o funcionario designado ha revisado y reportado semanalmente las novedades jurisprudenciales del Consejo de Estado en los procesos de nulidad de actos de carácter general expedidos por el Gobierno, a medida que éstos se publican en la página web del Consejo. El reporte se ha enviado al director de la DDDOJ por correo electrónico. El control no se hace durante la vacancia judicial. 
Evidencia:
(Se anexa vínculo a Registro-Correo electrónico.) https://minjusticiagovco-my.sharepoint.com/:f:/r/personal/dirordenamiento_juridico_minjusticia_gov_co/Documents/P_SeguridadJuridica/DefensaOrdJuridico/Defensa%202023/Novedades%20jurisprudenciales%20CE%202023?csf=1&amp;web=1&amp;e=WFos33         </t>
  </si>
  <si>
    <t>3.- RIESGO:  Pérdida de imagen del sistema SUIN-Juriscol por desactualización de la información normativa incorporada en este, que se genera a partir de la inexactitud de la información publicada, frente a la información publicada por quienes las producen.
Durante el primer cuatrimestre de 2023 los controles han sido efectivos:
3.1.- Se ha cumplido el cargue programado por parte de las funcionarias y funcionarios designados para ello, porque el funcionario designado ha hecho seguimiento y control mensual a la programación y avance de las tareas asignadas para evitar incumplimientos. Cuando se ha identificado una norma programada no cargada en el sistema al hacer el seguimiento se ha hecho el respectivo requerimiento al funcionario designado para que realice el cargue. 
Evidencia: 
Formato Control General - Correos electrónicos
CONTROL GENERAL: https://minjusticiagovco-my.sharepoint.com/:f:/r/personal/dirordenamiento_juridico_minjusticia_gov_co/Documents/P_SeguridadJuridica/Divulgacion/EvidenciasControlRiesgosGestionSUIN/CuadroControlSUIN?csf=1&amp;web=1&amp;e=WjZk7e 
CORREOS ELECTRÓNICOS: https://minjusticiagovco-my.sharepoint.com/:f:/r/personal/dirordenamiento_juridico_minjusticia_gov_co/Documents/P_SeguridadJuridica/Divulgacion/EvidenciasControlRiesgosGestionSUIN/Correos?csf=1&amp;web=1&amp;e=cobkSN 
3.2.- No se han presentado fallas en la herramienta tecnológica que afecten el correcto funcionamiento del sistema
Evidencia: 
No aplica por ausencia de fallas: (Registro de incidentes en el sistema de mesa de ayuda ARANDA y sistema de mesa de ayuda del proveedor o Solución de ser posible del mismo por parte de la DDDOJ)
3.3.- En el segundo cuatrimestre de 2023 se realizará la capacitación del equipo de trabajo, con posterioridad a que se actualice la documentación del procedimiento en el SIGI (Está en trámite). 
Evidencia: 
No aplica aún: (Asistencia a la capacitación o taller - Presentación - Material utilizado en la capacitación o taller - Programación de las capacitaciones - Envío de la guía a los no asistentes cuando así sea necesario)</t>
  </si>
  <si>
    <t xml:space="preserve">4.- RIESGO:  Falta de claridad jurídica de la redacción de los criterios de depuración normativa, incluidos en los lineamientos o metodologías.
Durante el primer cuatrimestre de 2023 el control ha sido efectivo:
4.1.- El equipo de trabajo del grupo de calidad normativa, al redactar las nuevas versiones 2023 de los documentos de metodología de depuración normativa, revisó que los criterios de depuración normativa utilizados sean jurídicamente claros.
Evidencia: documento con redacción corregido - correo electrónico
https://minjusticiagovco-my.sharepoint.com/:f:/r/personal/dirordenamiento_juridico_minjusticia_gov_co/Documents/P_SeguridadJuridica/DepuracionNormativa/Evidencia%20control%20riesgos%20gesti%C3%B3n%20Depuraci%C3%B3n?csf=1&amp;web=1&amp;e=pIbvuL  </t>
  </si>
  <si>
    <t>En el primer cuatrimestre del 2023, se actualiza el riesgo con respecto a la valoración del riesgo inherente y residual. Se adelantan las auditorias programadas en el plan anual de auditoria interna 2023, solo quedo pendiente la auditoria al SCI a través de FURAG, debido a los tiempos adelantados por el DAFP. Se comparte muestra que demuestra la ejecución del control y del plan de tratamiento del riesgo en el cual se adelantan las reuniones con la dependencia auditada para resolver las inquietudes con respecto al cuestionario en el programa de auditoria.   Las evidencias se encuentran en el One Drive y publicados en la pág web de la entidad.
https://www.minjusticia.gov.co/ministerio-co/planeacion-gestion-control/auditor%C3%ADas-internas/auditorias-internas
https://minjusticiagovco-my.sharepoint.com/:f:/r/personal/mauricio_ordonez_minjusticia_gov_co/Documents/Evidencias%20riesgos/OCI/2023/Primer%20cuatrimestre/Riesgos%20de%20corrupci%C3%B3n?csf=1&amp;web=1&amp;e=qu2dxr</t>
  </si>
  <si>
    <t>En el primer cuatrimestre del 2023, se actualiza el riesgo con respecto a la valoración del riesgo inherente y residual. Se adelantan las auditorias programadas en el plan anual de auditoria interna 2023, solo quedo pendiente la auditoria al SCI a través de FURAG, debido a los tiempos adelantados por el DAFP. Se comparte muestra que demuestra la ejecución del control y del plan de tratamiento del riesgo en el cual se adelantan las reuniones con la dependencia auditada para resolver las inquietudes con respecto al cuestionario en el programa de auditoria. Se adelanta durante el periodo las reuniones de grupo de la OCI, en donde se realiza el seguimiento al cumplimiento de la ejecución y se genera lineamientos para la ejecución de las auditorias programadas y en ejecución. Las evidencias se encuentran en el One Drive y publicados en la pág web de la entidad.
https://www.minjusticia.gov.co/ministerio-co/planeacion-gestion-control/auditor%C3%ADas-internas/auditorias-internas
https://minjusticiagovco-my.sharepoint.com/:f:/r/personal/mauricio_ordonez_minjusticia_gov_co/Documents/Evidencias%20riesgos/OCI/2023/Primer%20cuatrimestre/Riesgos%20de%20corrupci%C3%B3n?csf=1&amp;web=1&amp;e=qu2dxr</t>
  </si>
  <si>
    <t xml:space="preserve">No se ha materializado el riesgos. 
Se cumple con la documentación solicitada en la lista de chequeo por modalidad de contratación y se elaboró una guia para la publicación de los documentos en el Secop en cumplimiento de la lista de chequeo. Evidencia Guía </t>
  </si>
  <si>
    <t>No se ha materializado el riesgos
El GGC mediante correo electronico solciita a la dependencia solicitante del proceso de contratación que remita la documentacion faltante previo al inicio del tramite de la contratación. Evidencia  correos electrónicos</t>
  </si>
  <si>
    <t>No se ha materializado el riesgos
El GGC mediante memorando se realiza devolucion de los procesos a laas dependencias por no cumplir con los requisitos necesarios. Evidencia memorandos</t>
  </si>
  <si>
    <t>No se ha materializado el riesgo
No aplica  correo solicitando ajustes para este reporte. Las evaluaciones estan publicadas en el Secop II.  Evidencia bases link y Link Secop II https://community.secop.gov.co/Public/Tendering/ContractNoticeManagement/Index?currentLanguage=es-CO&amp;Page=login&amp;Country=CO&amp;SkinName=CCE</t>
  </si>
  <si>
    <t>Generar confusión en la ciudadanía sobre los temas expuestos por la entidad, por divulgar información confusa y/o inoportuna, al utilizar lenguaje técnico y/o información incompleta</t>
  </si>
  <si>
    <r>
      <rPr>
        <b/>
        <sz val="11"/>
        <color theme="1"/>
        <rFont val="Calibri"/>
        <family val="2"/>
      </rPr>
      <t>El riesgo no se ha materializado.</t>
    </r>
    <r>
      <rPr>
        <sz val="11"/>
        <color theme="1"/>
        <rFont val="Calibri"/>
        <family val="2"/>
      </rPr>
      <t xml:space="preserve">
El periodista a cargo de la publicación, revisa la terminología utilizada en el insumo recibido de la fuente y se asesora para evitar imprecisiones,  si es muy técnica o confusa, modifica la información sin cambiarla, solo la hace más entendible. Estas modificaciones son aprobadas por la fuente primaria de la información previo a su publicación o divulgación. 
</t>
    </r>
    <r>
      <rPr>
        <b/>
        <sz val="11"/>
        <color theme="1"/>
        <rFont val="Calibri"/>
        <family val="2"/>
      </rPr>
      <t>Evidencias:</t>
    </r>
    <r>
      <rPr>
        <sz val="11"/>
        <color theme="1"/>
        <rFont val="Calibri"/>
        <family val="2"/>
      </rPr>
      <t xml:space="preserve"> 
*Documentos publicados en nuestros canales de información: Web, intranet, redes sociales.
</t>
    </r>
    <r>
      <rPr>
        <b/>
        <sz val="11"/>
        <color theme="1"/>
        <rFont val="Calibri"/>
        <family val="2"/>
      </rPr>
      <t xml:space="preserve">*Actas de las reuniones </t>
    </r>
    <r>
      <rPr>
        <sz val="11"/>
        <color theme="1"/>
        <rFont val="Calibri"/>
        <family val="2"/>
      </rPr>
      <t>semanales del Consejo de Redacción de la OPC.</t>
    </r>
  </si>
  <si>
    <r>
      <rPr>
        <b/>
        <sz val="11"/>
        <color theme="1"/>
        <rFont val="Calibri"/>
        <family val="2"/>
      </rPr>
      <t>El riesgo no se ha materializado.</t>
    </r>
    <r>
      <rPr>
        <sz val="11"/>
        <color theme="1"/>
        <rFont val="Calibri"/>
        <family val="2"/>
      </rPr>
      <t xml:space="preserve">
La OPC proporcionó un formulario de solicitudes a todo el Ministerio para que hagan sus requerimentos de difusión a nivel externo  dirigido al correo prensajusticia.gov.co. Esto ha permitido tener trazabilidad de la gestión.
</t>
    </r>
    <r>
      <rPr>
        <b/>
        <sz val="11"/>
        <color theme="1"/>
        <rFont val="Calibri"/>
        <family val="2"/>
      </rPr>
      <t>Evidencia</t>
    </r>
    <r>
      <rPr>
        <sz val="11"/>
        <color theme="1"/>
        <rFont val="Calibri"/>
        <family val="2"/>
      </rPr>
      <t>: Algunos pantallazos del correo de la OPC.</t>
    </r>
  </si>
  <si>
    <r>
      <rPr>
        <b/>
        <sz val="11"/>
        <color theme="1"/>
        <rFont val="Calibri"/>
        <family val="2"/>
      </rPr>
      <t>No se ha materializado el riesgo.</t>
    </r>
    <r>
      <rPr>
        <sz val="11"/>
        <color theme="1"/>
        <rFont val="Calibri"/>
        <family val="2"/>
      </rPr>
      <t xml:space="preserve">
Al ser una actividad que se realiza  minimo dos veces al año, aun no se programa y la razón es que se están actualizando estos documentos.
</t>
    </r>
    <r>
      <rPr>
        <b/>
        <sz val="11"/>
        <color theme="1"/>
        <rFont val="Calibri"/>
        <family val="2"/>
      </rPr>
      <t>Evidencia:</t>
    </r>
    <r>
      <rPr>
        <sz val="11"/>
        <color theme="1"/>
        <rFont val="Calibri"/>
        <family val="2"/>
      </rPr>
      <t xml:space="preserve"> N/A</t>
    </r>
  </si>
  <si>
    <t>Director de Política Criminal</t>
  </si>
  <si>
    <t>313/12/23</t>
  </si>
  <si>
    <t>Una vez identificados los  riesgos, se puede evidenciar que la dirección de política criminal y penitenciaria, ha establecido una ruta para la proyección y envío de todos las transferencias y los traslados pertinentes a las entidades competentes dentro de los términos establecidos, por lo tanto no se materializó el riesgo objeto de análisis. Así mismo, se ha realizado un seguimiento preventivo con el fin de mitigar las inconsistencias que se puedan presentar en cuanto a la proyección y envió de los traslados correspondientes y las respuestas a los peticionarios conforme a los parámetros establecidos. (se adjunta documento Excel que soporta los traslados realizados en lo que respecta especificamente a este riesgo)</t>
  </si>
  <si>
    <t>Una vez revisados los riesgos se pudo identificar por parte de la Dirección de Política Criminal y Penitenciaria, todas las compromisos han sido objeto de seguimiento por parte de la Dirección  y por tanto no se habría materializado el riesgo objeto de análisis. (complementando  este riesgo se adjunta el procedimiento seguimiento a los establecimientos de reclusión del orden nacional con el que se tienen previos ajustes a las observaciones remitidas por parte de calidad)</t>
  </si>
  <si>
    <t>1. Listados de asistencia
2. Registro fotográfico
3. Invitación por parte de Subdirectora</t>
  </si>
  <si>
    <t xml:space="preserve">El riesgo no se ha materializado y el control ha sido efectivo, durante el período a rendir, se realizó una (1) capacitación en la sede Centro donde participó funcionarios y Contratistas del Grupo de Cannabis, y se trataron temas como: estructura Subdirección, organización grupo de cannabis, funcionalidades y nuevos módulos MICC, talleres prácticos de solución de casos reales, proceso de licenciamiento, seguimiento y Control. </t>
  </si>
  <si>
    <r>
      <t>El riesgo no se ha materializado y el control ha sido efectivo. El proceso de elaboración de Actos administrativos se surte correctamente, en el periodo a rendir no se han presentado errores humanos al realizar los actos administrativos.</t>
    </r>
    <r>
      <rPr>
        <b/>
        <sz val="11"/>
        <color theme="1"/>
        <rFont val="Calibri"/>
        <family val="2"/>
        <scheme val="minor"/>
      </rPr>
      <t xml:space="preserve"> </t>
    </r>
  </si>
  <si>
    <t xml:space="preserve">El riesgo no se ha materializado. Se realizaron actualizaciones de "Listado de licenciatarios con la calidad de pequeños y medianos cultivadores, productores ycomercializadores nacionales de cannabis medicinal", cargar la circular MJD-CIR22-0000099con tarifas 2023, eliminar la Resolución 0484 de 2017 y cargar la Resolución 0163 de 2021,cargar la circular CCITE-CIR23-0000025. </t>
  </si>
  <si>
    <t>El riesgo no se ha materializado y el control ha sido efectivo. El grupo juridico reporta oportunamente los actos administrativos de otorgamiento de licencias a Grupo Financiero para su actualización en el drive de control y seguimiento de cuentas por cobrar.</t>
  </si>
  <si>
    <t>Módulo financiero MICC</t>
  </si>
  <si>
    <t>Actualmente el módulo financiero en MICC se encuentra en pruebas y etapa de aprobación por parte de la Subdirección.</t>
  </si>
  <si>
    <t>El riesgo no se ha materializado y el control ha sido efectivo, no se ha presentado errores en el registro de información en el drive de cuentas por cobrar.</t>
  </si>
  <si>
    <t>Reunión semestral con el fin de hacer seguimiento al estado del SIG</t>
  </si>
  <si>
    <t>El desarrollo de las actividades de mantenimeinto del SIG se han desarrollado conforme a lo planeado, por lo tanto el riesgo no se ha maaterializado y los controles han sido efectivos, toda vez que se ha solicitado la información realcionada con la actualización de indicadores, de producto no conforme, planes de mejoramiento y riesgos. Como evidencia se adjuntan los correos realizados para este tema</t>
  </si>
  <si>
    <t>La coordinadora del GGH y el equipo nómina, mensualmente genera la prenómina, con el objeto de garantizar la liquidación corrrecta de las novedades puestas en conocimiento dentro de los tiempos establecidos en la circular, con el fin de evitar inconsistencias cuando se liquiden las novedades informadas extemporáneamente. En caso de encontrar inconsistencias o se presentan solicitudes extemporaneas, se ajusta para agilizar el cargue definitivo de la nómina.  Como evidencia queda la prenómina</t>
  </si>
  <si>
    <t xml:space="preserve">No se ha materializado el riesgo y los controles han sido efectivos, por lo que se generó: Circular N.MJD-CIR23-0000008GGH-40400 donde se establece el cronograma de entrega de novedades de Nómina al Grupo de Gestión Humana garantizando los tiempos de ingreso al sistema de liquidación. 
Causación oportuna, al recibir las novedades revisadas e ingresadas en el aplicativo Kactus.                                                                                                                                                                               Realización de pre - nómina de Enero a Abril de 2023: Una vez ingresadas las novedades de la nómina correspondiente, se procede a liquidar la prenomina y se genera un archivo en excel, con el fin de revisar, identificar y ajustar inconsistencias que se puedan presentar, conforme a la validación respectiva
EVIDENCIAS APORTADAS: Prenóminas Enero, febrero, marzo y abril de 2023. MJD-CIR23-0000008_ Memorando Cronograma Novedades _Nómina_Grupo de Gestión Humana
 </t>
  </si>
  <si>
    <t>Liderar y ejecutar las actividades propias de la administración y gestión del talento humano, aplicando la normativa vigente y los procedimientos establecidos en la entidad para contribuir a la consecución de los objtivos institucionales.</t>
  </si>
  <si>
    <t>El Coordinador del GGH y el equipo de cpacitación, anualmente y con el fin de fortalecer los conocimientos en los funcionarios, desarrollará el Proyecto de Aprendizaje en equipo, como generador de nuevos conocimiento, aprovechando los concocimientos y experiencia de otros funcionarios.  Como evidencia queda los programas postulados para la vigencia.</t>
  </si>
  <si>
    <t xml:space="preserve"> El riesgo no se materializó, toda vez que se ha llevado los siguientes controles:
Se realizó un diagnóstico de necesidades de capacitación a nuestros funcionarios.
Se diseñó un programa de capacitación acorde con las necesidades de capacitación detectadas en el diagnóstico el cual se proyecta a ejecutarse de junio a noviembre y algunas de las capacitaciones se han cubierto con oferta de apoyo interinstitucional de capacitaciones gratuitas por parte del SENA y de la Caja de Compensación Familiar (cursos de inglés y de Excel básico, intermedio y avanzado).
Se estructuraron 3 proyectos de aprendizaje en equipo PAE con funcionarios del Ministerio y definiendo temáticas específicas.
Se realizó el comité de capacitación donde se asignaron los recursos para la ejecución del PIC-2023 por una asignación de $216.000.000
Se han llevado a cabo reuniones para realizar la suscripción de convenios interadministrativos de cooperación con la UNAD y la ESAP.
EVIDENCIAS APORTADAS: Informe diagnóstico de necesidades de capacitación 2023, PIC-2023,  Listado de inscritos a cursos inglés y excel, Acta del comité de capacitación ,</t>
  </si>
  <si>
    <t>No se materializa el riesgo, toda vez que se cumple con, la revisión  de requisitos establecidos en el manual de funciones con los soportes entregados por los aspirantes en el formato F-THAD-01-09 denominado Calculo Tiempo de Experiencia Laboral. Si el aspirante cumple requisitos se expide con firma del Secretario General el certificado de cumplimiento de requisitos en el formato F-THAD-01-05.
De igual forma se valida los siguientes documentos: Certificados de antecedentes fiscales, disciplinarios y judiciales y si es el caso el certificado de antecedente de la profesión.  Si se presenta alguna duda frente a los soportes o titulos entregados, se remite correo electrónico a la entidad respectiva para validar su autenticidad. Se verifica continuamente las normas que rigen en la materia por si existen actualizaciones que se deben tener en cuenta al momento de validar el cumplimiento de requisitos.
EVIDENCIAS ADJUNTAS: Formato F-THAD-01-05 certificado de cumplimiento de requisitos para cada vinculación, Formato F-THAD-01-09 -Calculo Tiempo de Experiencia Laboral, Hoja de vida SIGEP firmadas por la Coordinadora de Gestión tramitados durante el enero, febrero, marzo y abril de 2023.</t>
  </si>
  <si>
    <t>El profesional de Gestión Humana por cada actividad garantizar que los inscritos asistan a la actividad se envía correos con todos los parámetros para el desarrollo de la actividad con fecha, hora y logística y correos con indicaciones de la actividad, listas de asistencia y correo solicitando la justificación de no asistencia indicando que se invirtieron recursos del estado y no dio oportunidad a que otro funcionario pudiera participar. Adicionalmente se realizará la encuesta de stisfacción como parámetro para la mejora continua. Como evidencia quedasn lo correos electrónicos y la encuesta</t>
  </si>
  <si>
    <t>En el mes de enero e, se realizó la aprobación de recursos del Plan de Biienestar Social 2023, en la primera sesion de 30 de nero de 2023 del Comité de Binestar Social, Capacitación, Estímulos e Incentivos
2. Se realiza control presupuestal en el formato de cronograma de actividades proyectadas para la vigencia 
3. Es importante mencionar que han adelantado las gestiones necesarias para la suscripcion del Contrato con la caja de compensacion familiar - COLSUBSIDIO a fin de adelantar las actividades programadas en el plan, sin embargo, a la fecha no se cuenta con contrato vigente. Es importante resaltar que el GHH viene realizando actividades de gestión sin cargo al contrato en caminadas al mejoramiento de la calidad de vida laboral y familiar y reforzamiento del sentido de pertencia de los colaboradores del MJD, tales como: Minjusticia te Obsequia, Torneo Interno de Tenis de Mesa, Cine en familia, Clases de Rumba  y sensibilizaciones en materia de Género, entre otros.
EVIDENCIAS ADJUNTAS: Informe de planes del GGH PRIMER TRIMESTRE 2023, Informe de ejecución plan de Bienestar (power point), Acta N°1 Comité de Bienestar 2023</t>
  </si>
  <si>
    <t>El funcionario o contratista designado, cada vez que el funcionario vaya a realizar un viaje, estará atento a que entregue los docuemntos con suficiente tiempo, de acuerdo a los plazos maximos que exisaten para ello, si los documentos no son allegados a tiempo no será posible subir la información al aplicativo de presidencia. Evidencia: Guia Comisión de servicios al exterior G-THAD-01 G-THAD-01 Versión 3.</t>
  </si>
  <si>
    <t>No se materializo el riesgo, se aplicaron los controles necesarios para atender los requerimientos de las solicitudes de Comisiones al Exterior de manera oportuna y en los tiempos establecidos según la Guia de Comisiones al exterior
EVIDENCIAS ADJUNTAS: Relación comisiones al exterior enero, febrero, marzo, abril 2023. Documentación tramitada para cada comisión otorgada, incluyendo los formatos diligenciados.</t>
  </si>
  <si>
    <t>El Profesional del Grupo de Gestión Humana nómina Mensualmente con el propósito de evitar que hayan incapacidades sin radicar en las respectivas EPS. Inicialmente se recibe la incapacidad por correo electrónico o por EPX, se descarga el documento en pdf y se guarda en la carpeta escaner, luego se registra en el cuadro de control de incapacidades, posteriormente se radica en la pàgina web de la EPS y a fin de mes se ingresa en el aplicativo de nòmina. Se hace seguimiento semanalmente hasta que la EPS efectua el desembolso. Si se identifica una incapacidad que no ha sido radicada, se procede a buscar el documento en la historia laboral del funcionario y se empieza el proceso de radicaciòn. la entidad pierde el derecho a exigir el cobro despuès de tres (3) años. 
Evidencia
Archivo en excel "Cuadro de control incapacidades" 
Carpeta compartida Incapacidades.
Correos electrónicos de cobro
Informe semestral</t>
  </si>
  <si>
    <t>No se materializó el riesgo , en el primer trimestre 2023 se realizaron los ajustes solicitados por la Oficina Asesora de Planeación al instructivo de incapacidades I-TH -03 -01 GESTIÓN DE INCAPACIDADES y se presentó a la secretaria general para revisión y visto bueno, conforme lineamiento de fecha 02 de marzo de 2023.  Seguimiento al recobro de incapacidades a través del Cuadro de control: En el momento se adelanta seguimiento continuo para el recobro de las incapacidades ante las distintas entidades promotoras de salud EPS, a través de su aplicativo; como se evidencia en el consolidado de vigencia 2023 del primer cuatrimestre, donde sea recaudado la suma de $47.574.156, conciliaciones realizadas con el Grupo de Gestión Financiera y Contable, una vez ingresan estos recursos por concepto de incapacidad en la cuenta del Ministerio de Justicia y del Derecho. Documento con el resultado de la depuración: En el momento del Grupo de Gestión Humana en coordinación con el Grupo de Gestión Financiera y Contable viene adelantando el proceso de depuración de incapacidades al Gasto y Cuentas por Cobrar vigencia 2019, 2020 y 2021, con el objeto de que estas sean reclasificadas y conciliadas por parte del Grupo de Gestión Financiera y Contable. Para lo cual el Grupo de Gestión Humana realizó el informe detallado de las incapacidades que fueron registradas en las nóminas de la vigencia 2019, 2020 y 2021, agrupadas por EPS y relacionando de manera separada los valores por incapacidades que serán contabilizados como gasto y los valores que serán contabilizados como cuentas por cobrar a EPS. Mesas de trabajo: Se trabaja articuladamente con el Grupo de Gestión Financiera y Contable, permanentemente.Grupo de Gestión Humana cuenta actualmente con un equipo encargado del tema de incapacidades, el cual se encuentra capacitado para realizar las gestiones pertinentes de cobro y recobro de pago de incapacidades.EVIDENCIAS ADJUNTAS: PAGO INCAPACIDADES, MESAS DE TRABAJO INTERDEPENDENCIAS, TRAMITES INSTRUCTIVOS, GESTIÓN COBRO - RECOBRO.</t>
  </si>
  <si>
    <t>el riesgo no se ha materializado durante este trimestre. Es preciso indicar que el DNP realizó cambio del sistema de seguimiento y ahora se realiza todo el proceso desde la formualción hasta el seguimiento en la Plataforma Integrada de Inversión Publica - PIIP a partir del 2023, asi las cosas remitió oficio y correo indicando que se ralizara un periodo de transcisión hasta le mes de marzo con el fin de que la información de los proyectos sea cargada y se normalice la utilización del nuevo sistema, por loq ue los segumientos se regularan despues del cierre del mes de abril. Asi las cosas no se cuenta con revisiones de seguimiento al corte del primer trimestre.</t>
  </si>
  <si>
    <t>No se materializó el riesgo. Durante el periodo se ralizaron mensualmente informes de ejecución presupuestal los cuales fueron socializados en el comité Institucional de gestión y desempeño. Las evidencias son la presentación del informe y el acta del Comité.</t>
  </si>
  <si>
    <t>El seguimiento lo hace de forma directa el i) Coordinador del Grupo de Traslado de Personas Condenadas, ii) el abogado que realiza el tramite ii)  para el periodo de enero a abril de la vigencia actual,  se realizaron 28 estudios ante la Comisión Intersectorial con la validación de la documentación completa de los expedientes. Toda vez que los controles han sido efectivos, no se ha materializado el riesgo.</t>
  </si>
  <si>
    <t xml:space="preserve">El coordinador del Grupo de Asistencia Judicial de la Dirección de Asuntos Internacionales, cada vez que se reciba una solicitud de asistencia judicial en materia penal y previo al envío de esta a la autoridad central correspondiente, a fin de determinar la viabilidad de la solicitud y  evitar devoluciones o reprocesos por documentación incompleta o inconsistente por parte de la Autoridad Central,revisará el cumplimiento de los requisitos de fondo y forma, previstos en el instrumento internacional aplicable al caso concreto. En caso de que al momento de recibir la solicitud, esta se encuentre sin el lleno de los requisitos, se devuelve a la autoridad judicial requirente con las observaciones del caso. Evidencia: Oficio por parte del Ministerio con las respectivas observaciones en los casos que aplique a la solicitud de la autoridad judicial. </t>
  </si>
  <si>
    <t>Una vez revisadas las solicitudes de asistencia judicial formuladas por los Despachos Judiciales, en un término no mayor a cinco (05) días hábiles a partir de su recepción, se atienden de forma oportuna, aquellas que no han cumplido con el lleno de los requisitos se han devuelto, con las observaciones precisas que permitan la subsanación correspondiente sobre las mismas, en orden a que, una vez, los despachos judiciales las presenten otra vez, el Ministerio de justicia y del Derecho las remite  definitivamente. Toda vez que los controles han sido efectivos, no se ha materializado el riesgo.</t>
  </si>
  <si>
    <t>Devolución de la documentación soporte de la extradición activa por parte del país requerido</t>
  </si>
  <si>
    <t>La persona designada por el Coordinador del Grupo de Extradicciones, cada vez que se reciba una solicitud de extradicción pasiva y previo a su envío a la Corte Suprema de Justicia, verifica que la solicitud se encuentre completa y conforme a la norma o tratado aplicable, revisará la documentación allegada por el Ministerio de Relaciones Exteriores y realiza el oficio remisorio correspondiente. En caso de que al momento de realizar la verificación se identifique una solicitud incompleta, que no cumpla con la normatividad o el tratado o que no es clara, se solicita la respectiva complementación ante el Ministerio de Relaciones Exteriores. Evidencia: Oficio remisorio de la documentación al organo judicial y Oficio de solicitud de complementación ante el Ministerio de Relaciones Exteriores en los casos donde haya lugar, ambos con revisión del Coordinador del Grupo de Extradiciones.</t>
  </si>
  <si>
    <t>La persona designada por el Coordinador del Grupo de Extradiciones, cada vez que se reciba una solicitud de extradicción activa y previa su remisión al Ministerio de Relaciones Exteriores, verifica que la solicitud se encuentre completa  y conforme a la norma o tratado aplicable, revisa la documentación enviada por la autoridad judicial requirente y realiza el oficio remisorio correspondiente. En caso de que al momento de realizar la verificación, se identifique una solicitud incompleta, que no cumpla con la normatividad o el tratado o que no es clara, se solicita la respectiva complementación a la autoridad judicial requirente. Evidencia: Oficio de remisón de la documentación y oficio de solicitud de complementación a la autoridad judicial requirente, si es del caso, ambos con la revisión del Coordinador del Grupo de Extradiciones.</t>
  </si>
  <si>
    <t>Se realiza la verificación oportuna cada semana, que se esté cumpliendo los plazos y que se atiendan las solicitudes de extradición de conformidad con los procedimientos legales. Toda vez que los controles han sido efectivos, no se ha materializado el riesgo.</t>
  </si>
  <si>
    <t>El riesgo no se ha materializado, el control ha sido efectivo
Con corte a abril de 2023, se está desarrollando la fase III para la formulación de política pública, para lo cual se estableció el plan y el equipo de trabajo para la ejecución de la actividad; ii) se realizó capacitación sobre el procedimiento vigente de formulación de política pública; y, iii) se efectuaron doce (12) mesas técnicas con los grupos de la dependencia para la construcción y actualización de los documentos de política pública. 
Evidencias: Plan de trabajo con seguimiento; soportes de la capacitación y de las mesas técnicas realizadas.</t>
  </si>
  <si>
    <t>El riesgo no se ha materializado
La aplicación del control establecido se encuentra proyectado a ejecutar en el segundo cuatrimestre de 2023.</t>
  </si>
  <si>
    <t>Realizar capacitación de refuerzo para fortalecer la producción normativa</t>
  </si>
  <si>
    <t xml:space="preserve">Áreas involucradas en el proceso de producción normativa </t>
  </si>
  <si>
    <t>Soporte de la capacitación realizada</t>
  </si>
  <si>
    <r>
      <rPr>
        <i/>
        <u/>
        <sz val="11"/>
        <color theme="3" tint="-0.499984740745262"/>
        <rFont val="Calibri"/>
        <family val="2"/>
        <scheme val="minor"/>
      </rPr>
      <t>El riesgo no se ha materializado</t>
    </r>
    <r>
      <rPr>
        <sz val="11"/>
        <color theme="1"/>
        <rFont val="Calibri"/>
        <family val="2"/>
        <scheme val="minor"/>
      </rPr>
      <t xml:space="preserve">
Con corte a abril de 2023, no se han recibido solicitudes para la implementación del Programa Nacional de Casas de Justicia y Convivencia Ciudadana</t>
    </r>
  </si>
  <si>
    <r>
      <rPr>
        <i/>
        <u/>
        <sz val="11"/>
        <color theme="3" tint="-0.499984740745262"/>
        <rFont val="Calibri"/>
        <family val="2"/>
        <scheme val="minor"/>
      </rPr>
      <t>El riesgo no se ha materializado, el control ha sido efectivo</t>
    </r>
    <r>
      <rPr>
        <sz val="11"/>
        <color theme="1"/>
        <rFont val="Calibri"/>
        <family val="2"/>
        <scheme val="minor"/>
      </rPr>
      <t xml:space="preserve">
Con corte a abril de 2023, se brindaron las indicaciones necesarias para la implementación de la conciliación de las solicitudes que fueron recibidas en el periodo, a través del gestor documental SGDEA. Si se reciben por otro medio se redireccionan al correo electrónico de gestión.documental@minjusticia.gov.co para su radicación en el gestor documental y trámite correspondiente.
</t>
    </r>
    <r>
      <rPr>
        <i/>
        <sz val="11"/>
        <color theme="1"/>
        <rFont val="Calibri"/>
        <family val="2"/>
        <scheme val="minor"/>
      </rPr>
      <t>Evidencias: Matriz de comunicaciones SGDEA</t>
    </r>
    <r>
      <rPr>
        <sz val="11"/>
        <color theme="1"/>
        <rFont val="Calibri"/>
        <family val="2"/>
        <scheme val="minor"/>
      </rPr>
      <t xml:space="preserve"> (MICE)</t>
    </r>
  </si>
  <si>
    <r>
      <rPr>
        <i/>
        <u/>
        <sz val="11"/>
        <color theme="3" tint="-0.499984740745262"/>
        <rFont val="Calibri"/>
        <family val="2"/>
        <scheme val="minor"/>
      </rPr>
      <t>El riesgo no se ha materializado, el control ha sido efectivo</t>
    </r>
    <r>
      <rPr>
        <sz val="11"/>
        <color theme="1"/>
        <rFont val="Calibri"/>
        <family val="2"/>
        <scheme val="minor"/>
      </rPr>
      <t xml:space="preserve">
Con corte a abril de 2023, se brindaron las indicaciones necesarias para dar a conocer los requisitos asociados al trámite de creación de centros de conciliación, arbitraje y amigable composición,  acorde con la normatividad y lineamientos vigentes de las solicitudes que fueron recibidas en el periodo a través del gestor documental SGDEA. Si se reciben por otro medio se redireccionan al correo electrónico de gestión.documental@minjusticia.gov.co para su radicación en el gestor documental y trámite correspondiente.
</t>
    </r>
    <r>
      <rPr>
        <i/>
        <sz val="11"/>
        <color theme="1"/>
        <rFont val="Calibri"/>
        <family val="2"/>
        <scheme val="minor"/>
      </rPr>
      <t xml:space="preserve">
Evidencias: Matriz de comunicaciones SGDEA (Creación de centros)</t>
    </r>
  </si>
  <si>
    <t>Soportes de la inspección virtual</t>
  </si>
  <si>
    <t>El riesgo no se ha materializado, el control ha sido efectivo
Con corte a abril de 2023, se está diligenciando el formato de la priorización de las visitas de inspeccción, control y vigilancia que se realizarán este año.</t>
  </si>
  <si>
    <t>Entre enero y abril de 2023, el circuito interno de cámaras de vigilancia funcionó de manera correcta, debido al mantenimiento permanente realizado por la empresa Unión Temporal AS. Esta  reportó cambios de discos duros, revisión al domo de recepción, cámaras e impresora de adhesivos del control de ingreso de visitantes, cambio de cables, de acuerdo con los informes de control de servicios. Además, fueron reubicadas algunas cámaras de vigilancia al interior de la sede Chapinero, para mejorar el perímetro de cobertura. Igualmente, la instalación de cámaras de vigilancia nuevas en la sede Centro y funcionamiento de la mesa de control. No se materiazó el riesgo</t>
  </si>
  <si>
    <t>En el primer cuatrimestre de 2023, el MJD, a través del GGA, sucribió dos contratos de mantenimiento de los ascensores de las sedes Chapinero y Centro. Igualmente, el GGA avanza en el proceso contractual para la contratación del lavado y desinfección de tanques de agua, mantenimiento de la planta eléctrica. Actividades programadas a tiempo acorde con los mantenimientos preventivos requeridos. No se ha materializado el riesgo</t>
  </si>
  <si>
    <t>El encargado de vehículos del GAIT, Realiza seguimiento a la programación y ejecución de los recorridos y  tiempos programados de los esquemas de seguridad, con el verificar el adecuado uso de los mismos.  Evidencia Planillas de recorridos</t>
  </si>
  <si>
    <t>Comunicaciones, informes de supervisión y plan de mantenimiento.</t>
  </si>
  <si>
    <t>No se ha materializado el riesgo, los controles han sido efectivos se están realizado a partir de un archivo de control y registro donde se consigna todos los mantenimientos y ajustes pertinentes, toda vez que los contratistas responsables de prestar el servicio de mantemimiento al parque automotor lo han efectuado dentro de las obligaciones contractuales descritas en los contratos y ordenes de compra, (Ver Contratos No. 561 del 2021 y 729 de 2021, ordenes de compra 78567-78568-78860, con sus correspondientes informes de supervisión  en el SIDGAIT del GAIT),referente al plan de tratamiento, se está trabajando en un plan de mantenimiento que contenga un cumplimiento bajo cronograma para  los mantenimientos de la flotilla, para los servicios  del parque automotor están quedando registrados en el tablero de recorridos para su control y asignación, no se generan servicios sin que quede reportado en la plataforma Aranda (Ver reporte de tablero de control), a la fecha se está configurando los ajustes referentes a integración de nuevos procedimientos, formatos y matrices para la aprobación del Plan Vial de Seguridad (Ver correos, borradores de formatos)</t>
  </si>
  <si>
    <t>De conformidad con las acciones implementadas a través de los distintos monitorios realizados al interior del Grupo de Control Interno Disciplinario, no ha materializado riesgo asociado. Con este fundamento se puede decir que el seguimiento y  efectividad de los controles se ajustan a los requerimientos planteados. Es así que, por medio  de la revisión de los expedientes y actuaciones procesales que se materializan con las decisiones tomadas en estos se puede observar un manejo adecuado cumpliendo con los cánones normativos en materia disciplinaria y es así que del conocimiento de los asuntos de competencia del Grupo de Control Interno Disciplinario (archivos, autos de sustanciación, interlocutorios, aperturas y otras decisiones), aplicando el régimen disciplinario vigente y, a los conocimientos y experticia en la materia. En este sentido se realiza cada vez que se requiera reunión (por lo menos una vez al mes) con el abogado que lleva el proceso para conocer los detalles y determinar la pertinencia de la actuación. Los soportes se encuentran en la Carpeta compartida, expedientes, sistema de Información Misional -SIM- del grupo de Control Interno Disciplinario, DRIVE y correos electrónicos.</t>
  </si>
  <si>
    <t>Los controles y acciones desplegadas por la Coordinación del Grupo de Control Interno Disciplinario, refleja el compromiso, ajustes y efectividad de las acciones para evitar la materialización de los riesgos. Razones que llevan a indicar que no se ha materializado riesgo alguno. Es así que, a través de la revisión de los expedientes y actuaciones procesales mediante las cuales se toman decisiones para el buen manejo de los procesos, dando estricto cumplimiento con los cánones normativos en materia disciplinaria y es así que del conocimiento de los asuntos de competencia del Grupo de Control Interno Disciplinario (archivos, autos de sustanciación, interlocutorios, aperturas y otras decisiones). Los soportes se encuentran en la Carpeta compartida, expedientes, sistema de Información Misional -SIM- del grupo de Control Interno Disciplinario, DRIVE y correos electrónicos.</t>
  </si>
  <si>
    <t>El Director Juridico expidio lineamiento internos preventivos a fin de reducir  los riesgos de vencimiento de términos, mediante MJD-MEM23-0000866-DJU, es importante mencionar que para el periodo no presentó vencimiento de termitos en estos trámites,  en este sentido los controles han sido efectivos.</t>
  </si>
  <si>
    <t>No se materializo el riesgo para lo cual la Coordinación del Grupo de Actuaciones Administrativas de la Dirección Jurídica realizo impulso procesal a los procesos de Cobro coactivo:
- MJD-MEM23-0001300 -verificación de consignación realizada por la compañía grupo gemlsa s.a.s - (cuotas 11).
- MJD-MEM23-0001304 - verificación de consignación realizada por la compañía grupo gemlsa s.a.s - (cuotas 12).
- mjd-mem23-0001307-verificación de consignación realizada por la comisión nacional del servicio civil. – proceso de cobro coactivo 2022-0001 – roberto enrique menjura camacho.
- MJD-MEM23-0001308 - verificación de consignación realizada por la señora rina maría almeida burgos.  (cuota 10/24).
- MJD-OFI23-0005969- segundo requerimiento de pago cobro persuasivo proceso 2022-0002.
- MJD-OFI23-0005972- segundo requerimiento de pago cobro persuasivo proceso 2022-0002
- MJD-OFI23-0006000- segundo requerimiento de pago cobro persuasivo proceso 2022-0002
- MJD-OFI23-0006003- segundo requerimiento de pago cobro persuasivo proceso 2022-0002
- MJD-OFI23-0006005 - segundo requerimiento de pago cobro persuasivo proceso 2022-0002
- MJD-OFI23-0006023- segundo requerimiento de pago cobro persuasivo proceso 2022-0004.
- MJD-OFI23-0006025- segundo requerimiento de pago cobro persuasivo proceso 2022-0004
- MJD-OFI23-0006031- segundo requerimiento de pago cobro persuasivo proceso 2022-0004
- MJD-OFI23-0006036- segundo requerimiento de pago cobro persuasivo proceso 2022-0004
- MJD-OFI23-0006039- segundo requerimiento de pago cobro persuasivo proceso 2022-0004
- MJD-OFI23-0006050- segundo requerimiento de pago cobro persuasivo proceso 2022-0004
- MJD-OFI23-0006052- segundo requerimiento de pago cobro persuasivo proceso 2022-0004
- MJD-OFI23-0006055- segundo requerimiento de pago cobro persuasivo proceso 2022-0004
- MJD-OFI23-0006058- segundo requerimiento de pago cobro persuasivo proceso 2022-0004
- MJD-OFI23-0006511- auto por el cual se decretan medidas cautelares dentro proceso administrativo de cobro coactivo No. 2021 -0002
- MJD-OFI23-0006516- auto por el cual se decretan medidas cautelares dentro proceso administrativo de cobro coactivo No. 2016-0004.
- MJD-MEM23-0001832- verificación de consignación realizada por la compañía grupo gemlsa s.a.s - (cuotas 12).
- MJD-OFI23-0009927-Auto de terminación y archivo del proceso administrativo de cobro coactivo no. 2022-0001 por el pago de la obligación a favor del ministerio de justicia y del derecho.
- MJD-OFI23-0009959-Notificación del Auto de terminación y archivo del proceso administrativo de cobro coactivo No. 2022-0001.
- MJD-OFI23-0009961-PAZ Y SALVO PROCESO ADMINISTRATIVO DE COBRO COACTIVO NO. 2022-0001.
- MJD-MEM23-0001971 -Comunicación terminación y archivo proceso administrativo de cobro coactivo No 2022-0001.
- MJD-MEM23-0001972 -Comunicación terminación y archivo proceso administrativo de cobro coactivo No 2022-0001.
- MJD-OFI23-0010034- Comunicación embargo y retención  de dineros dentro del proceso de cobro coactivo contra Carlos Cadena Almeyda 2016-0004.
- MJD-OFI23-0010095- Comunicación embargo y retención  de dineros dentro del proceso de cobro coactivo contra Carlos Cadena Almeyda 2016-0004.
- MJD-OFI23-0010096- Comunicación embargo y retención  de dineros dentro del proceso de cobro coactivo contra Carlos Cadena Almeyda 2016-0004.
- MJD-OFI23-0010102- Comunicación embargo y retención  de dineros dentro del proceso de cobro coactivo contra Carlos Cadena Almeyda 2016-0004.
- MJD-OFI23-0010109- Comunicación embargo y retención  de dineros dentro del proceso de cobro coactivo contra Carlos Cadena Almeyda 2016-0004.
- MJD-OFI23-0010112- Comunicación embargo y retención  de dineros dentro del proceso de cobro coactivo contra Carlos Cadena Almeyda 2016-0004.
- MJD-OFI23-0010115- Comunicación embargo y retención  de dineros dentro del proceso de cobro coactivo contra Carlos Cadena Almeyda 2016-0004.
- MJD-OFI23-0010319- Comunicación embargo y retención  de dineros dentro del proceso de cobro coactivo contra Carlos Cadena Almeyda 2016-0004.
- MJD-OFI23-0010325- Comunicación embargo y retención  de dineros dentro del proceso de cobro coactivo contra Carlos Cadena Almeyda 2016-0004.
- MJD-OFI23-0010333- Comunicación embargo y retención  de dineros dentro del proceso de cobro coactivo contra Carlos Cadena Almeyda 2016-0004.
- MJD-OFI23-0010339- Comunicación embargo y retención  de dineros dentro del proceso de cobro coactivo contra Carlos Cadena Almeyda 2016-0004.
- MJD-OFI23-0010341- Comunicación embargo y retención  de dineros dentro del proceso de cobro coactivo contra Carlos Cadena Almeyda 2016-0004.
- MJD-OFI23-0010352- Comunicación embargo y retención  de dineros dentro del proceso de cobro coactivo contra Carlos Cadena Almeyda 2016-0004.
- MJD-OFI23-00103357- Comunicación embargo y retención  de dineros dentro del proceso de cobro coactivo contra Carlos Cadena Almeyda 2016-0004.
- MJD-OFI23-0010360- Comunicación embargo y retención  de dineros dentro del proceso de cobro coactivo contra Carlos Cadena Almeyda 2016-0004.
- MJD-OFI23-0010372- Comunicación embargo y retención  de dineros dentro del proceso de cobro coactivo contra Carlos Cadena Almeyda 2016-0004.
- MJD-OFI23-0010374- Comunicación embargo y retención  de dineros dentro del proceso de cobro coactivo contra Carlos Cadena Almeyda 2016-0004.
- MJD-OFI23-0010325- Comunicación embargo y retención  de dineros dentro del proceso de cobro coactivo contra Carlos Cadena Almeyda 2016-0004.</t>
  </si>
  <si>
    <t>No se materializo el riesgo en este sentido se  verifica en Plataforma Ekogui el estado de procesos en el que se logra evidenciar la paridad de informacion registrada vs la reportada por el GDJ en el informe ublicado en la web.se mantiene controles de seguimiento</t>
  </si>
  <si>
    <t>No se ha materializado el riesgo y los controles han sido efectivos, para lo cual durante el periodo de revisión el GDJ dio atención y trámite a las demandas que se notificaron en contra de la entidad. El trámite de todas las demandas inicia con la notificación al MJD, finalizando su gestión según los términos legales. En este sentido se realizó la revisión del estado procesal de los pleitos en los que interviene el MJD, con las limitaciones propias del alto flujo de procesos a cargo de los apoderados de la Dirección Jurídica.
Asi mismo se efectuan opotunamente  Comites de Conciliacion para los fines pertinentes</t>
  </si>
  <si>
    <t xml:space="preserve">El riesgo no se ha materializado y los controles han sido efectivos, para el periodo no se tramito pago de sentencias </t>
  </si>
  <si>
    <t xml:space="preserve">no se ha materializado el riesgo y los controles han sido efectivos. Para este período el GED reviso  141 nuevas actuaciones procesales, en los cuales se determinó con base en las directrices de la guia  de Intervención intervenir en  16 nuevos procesos. </t>
  </si>
  <si>
    <t xml:space="preserve">El riesgo no se ha materializado durante este cuatrimestre. Durante el mismo se formulo un proyecto de inversión el cual fue objeto de verificara por la OAP con el fin de que cumpla con los requirimientos solicitados por la metodología revisando su diligenciamiento a través del formato de formulación de proyectos de inversión. En el proceso de revisión  se requirieron ajustes los cuales fueron remitidos al área correspondiente para su revisión y corrección, nos encontramos a espera de respuesta por parte del área. Evidencia: Formato de Formulación de proyecto de inversión y correo solicitando corrección.
Con el fin de que no se materializará el riesgo, se  formuló el Plan de Acción para alinearlo con el PND, atendiendo los lineamientos institucionales.y Se realizaron mesas de trabajo para la revisión y verificación de los lineamientos de la metodoligía y formulación  del PAI - PEI y se ajustaron los formatos para prevenir la materialización del riesgo. </t>
  </si>
  <si>
    <t>No se materializó el riesgo, para esto se llevaron a cabo reuniones presenciales para la reformulación de los Planes de acción y Estratégico, adicionalmente se publicaron en la WEBlos diferentes planes para generar el compromisos con el ejercicio.</t>
  </si>
  <si>
    <t>No se materializó el riesgo. Se realizaron mesas de trabajo para la revisión y verificación de los lineamientos de la metodoligía y formulación  del PAI - PEI y se ajustaron los formatos para prevenir la materialización del riesgo, adicionalmente se modificaron los formatos de PAI - PEI y se socializan para dar efectivo cumplimiento en la materialización de riesgos</t>
  </si>
  <si>
    <t>Diferentes versiones de los documentos previos y contractuales necesarios para gestionar los procesos de contratación, al igual que las solicitudes de gestión adelantadas por correo electrónico, en los cuales se observa la realización de actividades de control a cada uno de los textos y soportes de cada proceso contractual.</t>
  </si>
  <si>
    <t xml:space="preserve">Durante el primer cuatrimestre de 2023, no se ha identificado la materialización de este riesgo, en parte al cuidado y múltiples revisiones que se surte en la elaboración y gestión de los procesos precontractuales y contractuales de la Dirección de Política de Drogas y Actividades, al igual que en las Subdirecciones a cargo. </t>
  </si>
  <si>
    <t>Oficios, listados de asistencia y documentos de trabajo relacionados que el equipo de formulación de política de drogas y territorios de la Dirección, esta información está bajo la custodia del equipo de formulación de la nueva política nacional de drogas</t>
  </si>
  <si>
    <t xml:space="preserve">Hasta el momento no se ha materializado este riesgo, adicionalmente es pertinente indicar que actualmente la Dirección de Política de Drogas y Actividades Relacionadas viene realizando las gestiones para planear las actividades que permitan llevar a cabo el proceso de formulación de la nueva política nacional de drogas, de cara a las realidades territoriales, para lo cual se conformaron escenarios de articulación interinstitucional y de participación de la sociedad civil, con funciones y alcances diferenciados, para recolectar insumos, apoyar y acompañar al proceso de formulación, se espera logra la realización de 27 espacios territoriales los cuales se tienen programados para el mes de mayo a agosto de 2023   </t>
  </si>
  <si>
    <t xml:space="preserve">Documentos previos y contratos suscritos </t>
  </si>
  <si>
    <t>A la fecha se ha suscrito un convenio de cooperación con la Oficina de Naciones Unidas Contra las Drogas, el cual inicio en proceso de ejecución durante el mes de mayo de 2023, para lo cual se está llevando a cabo el proceso de seguimiento de cada una de las actividades y productos pactados, por lo tanto, hasta el momento no se ha materializado este riesgo y se vienen gestionando las labores de seguimiento y control para asegurar la no materialización de desviaciones en los tiempos establecidos</t>
  </si>
  <si>
    <t xml:space="preserve">Documentos soporte de los procesos contractuales que se han suscrito </t>
  </si>
  <si>
    <t>Hasta la fecha no se han presentado demoras en los procesos de desarrollo de los estudios que actualmente se están llevando a cabo, de acuerdo con la aplicación de las acciones de revisión y seguimiento de cada actividad y entregable planeada con los equipos responsables de cada estudio.</t>
  </si>
  <si>
    <t>Los temas tratados, archivos de documentación presentada, el acta y documentos relacionados, se encuentran bajo custodia de los encargados del archivo general del Consejo Nacional de Estupefacientes</t>
  </si>
  <si>
    <t>Durante el primer trimestre de 2023 se realizó una sesión del Consejo Nacional de Estupefacientes, en el cual se presentó el estado y soportes del proceso de planeación de la formulación de la nueva política nacional de drogas, en el cual los integrantes del Consejo dieron su aprobación al proceso luego de revisar cada uno de los elementos y fundamentos que se expusieron, por lo tanto no se ha materializado este riesgo debido a los estrictos controles y seguimiento a los contenidos que se presentan ante el Consejo.</t>
  </si>
  <si>
    <t>Desde la OCI se revisa la estructura del riesgo, encontrando que se atendieron las recomendaciones anteriores. Es importante que se analice a partir de herramientas como los 5 porque's las causas raíz, con el fin de determinar nuevos controles que fortalezcan la gestión del riesgo, como por ejemplo: indisponibilidad de los: Canales (WAN, LAN), Servidores y correo electrónico. Al igual revisar la consecuencia, porque no es la afectación de la imagen, sino por el contrario, la afectación de los procesos de la entidad que utilizan dichos servicios de la plataforma tecnológica de canales, servidores y correo electrónico.Se recomienda tener como fuente para la revisión de los riesgos los informes de auditoria interna. 
Se recomienda incluir dentro del monitoreo el avance en la ejecución de las acciones del plan de tratamiento del riesgo.
Por último, se recomienda replantear la acción del plan de tratamiento del riesgo. Al analizar nuevamente las causas se podrán determinar nuevos controles y acciones. Este ajuste es necesario contar para el próximo seguimiento donde de evidencie su gestión</t>
  </si>
  <si>
    <t>Desde la OCI se revisa la estructura del riesgo, encontrando que se atendieron las recomendaciones anteriores. Es importante que se analice a partir de herramientas como los 5 porque's las causas raíz, con el fin de determinar nuevos controles que fortalezcan la gestión del riesgo, tener presente los informes de auditoria interna, el cual contiene dentro de un capítullo los potenciales riesgos para el proceso. La causa no delimita el accionar del mismo riesgo. Por ello es importante realizar un analisis acerca de las causantes que generan el riesgo y a partir de allí definir controles mas efectivos, no relacionarlo solo con el cumplimiento contractual, ya que no desestima la responsabilidad del proceso.
Se recomienda incluir dentro del monitoreo el avance en la ejecución de las acciones del plan de tratamiento del riesgo.
Por último, se recomienda replantear la acción del plan de tratamiento del riesgo. Al analizar nuevamente las causas se podrán determinar nuevos controles y acciones. Este ajuste es necesario contar para el próximo seguimiento donde de evidencie su gestión</t>
  </si>
  <si>
    <t>Al revisar el riesgo, se ha atendido parcialmente las observaciones de la OCI.Falta incluir dentro de la estructura del riesgo la causa raíz. Cuando no se determina s causa raíz no es posible definir controles efectivos que ayuden a fortalecer el proceso. Se recomienda utilizar herramientas para tal fin, como por ejemplo los 5 porque's. 
Entre las posibles causas se podría tener: Falta de apropiación de la cultura archivística por parte de los colaboradores, falta de apropiación sobre el tema de archivo por parte de los encargados del archivo por areas, falta Infraestructura adecuada para la administración, almacenamientos, conservación y custodia de la documentación. Al igual con la consecuencia: reprocesos para la reconstrucción de los documentos y/o expedientes perdidos o deteriorados, pérdida de la memoria institucional, dificultad en el desarrollo normal de procesos administrativos o misionales, afectación de la imagen institucional y posible vulneración en protocolos de seguridad de terceros que prestan el servicio de transporte.
Se debe ajustar la acción del plan de tratamiento del riesgo ya que es similar al control estabecido, además que esta formulado como un anaisis de avance y no como acción.
Se recomienda atender estas observaciones de manera que se revise y actualice el riesgo en la próxima medición y contar con las evidencias que soporten su ejecución.Además es necesario que se ajuste la acción del plan de tratamiento del riesgo, este es similar al control, por tanto no le aporta a su origen sobre la opción de manejo del riesgo que ha definido el proceso.
Por último, se recomienda mejorar en la descripción de análisis del monitoreo</t>
  </si>
  <si>
    <t>Al revisar el riesgo, se ha atendido parcialmente las observaciones de la OCI.Falta incluir dentro de la estructura del riesgo la causa raíz. Cuando no se determina s causa raíz no es posible definir controles efectivos que ayuden a fortalecer el proceso. Se recomienda utilizar herramientas para tal fin, como por ejemplo los 5 porque's. 
Se recomienda analizar adecuadamente el riesgo para definir el riesgo según la estructura, identificar las causas y consecuencias, ya que por ejemplo una causa podría ser el incumplimiento legal para dar respuesta a las Pqrs del ciudadano y lo que eso conlleva. 
Se debe ajustar la acción del plan de tratamiento del riesgo ya que es similar al control estabecido, además que esta formulado como un anaisis de avance y no como acción.Se recomienda contar con controles detectivos y más preventivos que ayuden a mitigar la materialización del riesgo. 
Se recomienda atender estas observaciones de manera que se revise y actualice el riesgo en la próxima medición y contar con las evidencias que soporten su ejecución.Además es necesario que se ajuste la acción del plan de tratamiento del riesgo, este es similar al control, por tanto no le aporta a su origen sobre la opción de manejo del riesgo que ha definido el proceso.
Por último, se recomienda mejorar en la descripción de análisis del monitoreo</t>
  </si>
  <si>
    <t xml:space="preserve">Al analizar el riesgo se recomienda tener en cuenta la estructura para la definición del riesgo (impacto +causa inmediata + causa raíz), ya que al ser un riesgo tipificado de imagen, se pretende que el impacto ete relacionado con el mismo, lo que significa que no puede ser la misma tipificación el riesgo en sí mismo. Se recomienda con urgencia analizar y actualizar el riesgo teniendo en cuenta estas recomendaciones y la Guía de riesgos del DAFP.  Además hace falta incluir la causa raíz, para lo cual se puede utilizar como herramienta los 5 porque's para identificar las causas y posibles consecuencias, lo cual puede generar nuevos controles que ayuden a fortalecer la administración del riesgo.
</t>
  </si>
  <si>
    <t xml:space="preserve">Se recomienda evaluar la simplificación de los riesgos que actualmente cuenta el proceso, ya que se identicaron 3 riesgos de imagen, de los cuales es preciso que se analice si los riesgos que actualmente estan definidos se comportan como causa o consecuencia o se pueda unificar. Para lo anterior, se recomienda tener presenta la Guía de Riesgos del DAFP y solicitar el acompañamiento de la Oficina Asesora de Planeación para que brinde la asesoría en este tema.  Recordar que la estructura del riesgo cuenta con los siguientes elementos: impacto+ causa inmediata + causa raíz. 
Una vez se analicen los riesgos con sus causas y consecuencias, que puede realizarse con herramienta como los 5 porque's, se determinen controles efectivos que eviten la materialización del riesgo y a su vez fortalezcan al proceso.
Es preciso que se revisen y actualicen los riesgos antes del siguiente periodo de seguimeinto, con el fin de evaluar la efectividad de los controles.
Por último, es importante mejorar en la redacción de la descripción del monitoreo que de cuenta de la ejecución de los controles y de las acciones planteadas en el plan de tratamiento del riesgo. </t>
  </si>
  <si>
    <t xml:space="preserve">Al analizar el riesgo, el riesgo es la misma causa y consecuencia, es prioritario que el proceso analice a traves de herramientas de identificación como los 5 porque's las causas que están originando y las consecuencias de su materiallización, teniendo como base la estructura para la definición del riesgo (impacto+ causa inmediata + causa raíz). 
Se recomienda no definir un riesgo como la desviación o negación de un control. No se tiene claridad del impacto que origina la inexactitud de la información normativa y cual es la causa raíz. 
Es necesario que para el siguiente seguimiento el proceso actualice su bateria de riesgos y cuente con la evidencias que muestren la gestión y aplicación de sus controles.
Por último, es importante mejorar en la redacción de la descripción del monitoreo que de cuenta de la ejecución de los controles y de las acciones planteadas en el plan de tratamiento del riesgo. </t>
  </si>
  <si>
    <t>La OCI revisó el riesgo definido y actualizó según la estructura para la redacción del riesgo en la guía de riesgos de Función Pública y respondiendo a la capacitación realizada por la Oficina Asesora de Planeación. 
Se revisan las evidencias entregadas por el proceso, verificando y evaluando la efectividad de sus controles.</t>
  </si>
  <si>
    <t xml:space="preserve">La OCI al revisar el riesgo sigue encontrando falencias en la estructura de la definición del riesgo, falta que se incluya el impacto al inicio de la descripción del riesgo y la causa raíz del riesgo. Es necesario que el proceso realice un ejercicio de analisis del riesgo a través de herramientas como por ejemplo los 5 porque's, lo cual le permitirá además de identificar causas y consecuencias, determinar la causa raíz para definir controles fuertes que ayudes a evitar que el riesgo se materialice. 
Falta incluir mas causas y consecuencias determinantes en la identificación del riesgo relacionado con la formulación de la política pública. Por tanto, se recomienda realizar este ajuste antes del próximo seguimiento, de manera que se ueda obtener avance en la gestión del riesgo. 
</t>
  </si>
  <si>
    <t xml:space="preserve">
La OCI en el proceso de revisión encuentra que el proceso ha realizado actualización del riesgo, atendiendo las recomendaciones de la OCI con la asesoría de la Oficina Asesora de Planeación. Es importante que se incluya además en la estructura del riesgo la causa raíz del riesgo, para ello se recomienda analizar las causas que conllevan al riesgo, como por ejemplo los 5 porque's. 
Verificar si existen más causas y consecuencias asociadas al riesgo, dentro del análisis de causas, de forma que se determinen controles que mitiguen las causas identificadas. Evaluar si el impacto es la falta de credibilidad o es un impacto mayor sobre la prestación de los servicios hacia nuestros de interés. Se podría evaluar otras causas como por ejemplo: debilidad en la programación y seguimiento del Plan Anual de Adquisiciones de la entidad, deficiencias o fallas en la construcción de documentos tecnicos, estudios de sector, estudios previos, pliegos de condiciones y estimación de tiempos en los procesos de selección y en la contratación directa, falta de oportunidad en la elaboración y entrega de los documentos tecnicos, estudios de sector, estudios previos y pliegos de condiciones y en la contratación directa, fallas en el proceso de evaluación financiera, jurídica y técnica durante la adquisición de bienes y servicios. Lo anterior indica que a medica que tenga varias causas que atender se definirán controles más fuertespara evaluar su efectividad. 
Tanto el control como la acción del plan de tratamiento se encuentran bien definidos, y al revisar los soportes se puede evidenciar la ejecución del control. 
Excelente análisis en la descripción del monitore, el cual fue atendido sobre las recomendaciones de esta oficina. 
</t>
  </si>
  <si>
    <t xml:space="preserve">Al revisar el riesgo se atendió las recomendaciones en mediana medida, falta incluir la causa raíz. Para ello, se recomienda utilizar como herramienta para dicho ejercicio los 5 porque's. Una vez se tenga la causa raíz se puede definir controles que ayuden a mitigar el riesgo en la entidad. Entre las causantes se podría tener: definición inapropiada de la población objetivo de la estrategia de comunicaciones interna y externa, poca claridad de los mensajes divulgados como parte de la estrategia, debilidad en la entrega de los insumos para la estrategia por parte de la areas tecnicas, desactualización del plan estratégico de comunicaciones con respecto a las necesidades de la entidad.
Tanto el control como la acción del plan de tratamiento se encuentran bien definidos, y al revisar los soportes se puede evidenciar la ejecución del control. 
Se recomienda seguir mejorando el análisis del desempeño del riesgo, de tal manera que se pueda describir la gestión (medida) del proceso.
</t>
  </si>
  <si>
    <t xml:space="preserve">Al evaluar el riesgo se encuentra que el proceso aún le falta mejorar en la estructura de la definición de los riesgos, falta que incluya el impacto y la causa inmediata del riesgo. También se encuentra identificado una sola causa y consecuencia. Por tanto se hace necesario evaluar rapidamente el riesgo y contar para el próximo seguimiento la actualización y gestión de los controles.
El proceso falta que defina la acción del plan de tratamiento del riesgo de acuerdo con su opción de manejo del riesgo, realizar los ajustes a la definición del riesgo y determinar los controles que sean necesarios para responder al riesgo, para ello es importante reevaluar el riesgo. 
</t>
  </si>
  <si>
    <t>La OCI al revisar la estructura del riesgo encuentra que no se atendió las recomendaciones, aún queda pendiente agregar el impacto y la causa raíz, para ello se recomienda utilizar la Guía de riesgos del DAFP y utilizar como herramienta los 5 porque's para analizar el riesgo.
Tener encuenta el diligenciamiento de todas las casillas de la matriz, falta la columna F.
La acción del plan de tratamiento debe contar con una periodicidad para llevar a cabo el seguimiento del mismo. Se recomienda redefinir la acción de manera que se relacione con el análisis de los casos que presentaron inconsistencias para la toma de decisiones.
Se requiere contar con la revisión y actualización del riesgo para el próximo seguimiento, de forma que se pueda mejorar en la identificación y manejo del riesgo del proceso</t>
  </si>
  <si>
    <t>La OCI al revisar la estructura del riesgo encuentra que no se atendió las recomendaciones, aún queda pendiente agregar el impacto y la causa raíz, para ello se recomienda utilizar la Guía de riesgos del DAFP y utilizar como herramienta los 5 porque's para analizar el riesgo. Analizar las causas posibles y las consecuencias, ya que solo se identificó 1 sola causa y la consecuencia es el mIMSI  es el mismo riesgo
Tener encuenta el diligenciamiento de todas las casillas de la matriz, falta la columna F.
La acción del plan de tratamiento debe contar con una periodicidad para llevar a cabo el seguimiento del mismo. Se recomienda redefinir la acción de manera que se relacione con el análisis de los casos que presentaron inconsistencias para la toma de decisiones.
Se requiere contar con la revisión y actualización del riesgo para el próximo seguimiento, de forma que se pueda mejorar en la identificación y manejo del riesgo del proceso</t>
  </si>
  <si>
    <t xml:space="preserve">La OCI al revisar la estructura del riesgo encuentra que no se atendió las recomendaciones, aún queda pendiente agregar el impacto y la causa raíz, para ello se recomienda utilizar la Guía de riesgos del DAFP y utilizar como herramienta los 5 porque's para analizar el riesgo. Analizar las causas posibles y las consecuencias, ya que solo se identificó 1 sola causa y la consecuencia del mismo riesgo
Tener encuenta el diligenciamiento de todas las casillas de la matriz, falta la columna F.
Se generaliza en los 6 riesgos del proceso de GEstión Jurídica, encontrar deficiente definición de la estructura del riesgo, por riesgo un control y una consecuencia. Es importante analizar y simplificar los riesgos que inclusive al estar mal definidos se puede llegar a definir en una tipología incorrecta, así como el establecimiento de sus controles y acciones del plan de tratamiento. Revisar la acción establecida, ya se encuentra definida como una tarea y no cuenta con una periodicidad regular establecida. La acción debe estar encaminada como estrategia para responder a la opción del manejo del riesgo. 
</t>
  </si>
  <si>
    <t>La OCI evidencia que el proceso actualizó el riesgo dando respuesta a las recomendaciones de esta oficina, agregando parte de la estructura de la definición del riesgo, aunque aún hace falta incluir la caus raíz de la generación del riesgo. Es importante que al analizar el riesgo se determine por la herramienta que el líder considere dicho analisis, como por ejemplo: 5 porque's, arbol de fallos, etc., 
Se recomienda replantear la acción del plan de tratamiento del riesgo, ya que es similar a los controles del riesgo identificado, y no proceden acciones que fortalezcan al control establecido según la opción de manejo que se haya determinado.
Así mismo, mejorar el análisis del monitoreo, en el cual además de presentar avance en la ejecución del control también se debe monitorear el plan de tratamiento definido. 
Por último, falta incluir en la columna c el objetivo del proceso, de manera que se revise la formula matriz</t>
  </si>
  <si>
    <t>Se evidencia que se ha adelantado la actualización de la definición del riesgo. Sin embargo, se debe revisar la metodología del DAFP con respecto al impacto y las causas raíz, ya que se establecen en todos los riesgos los factores y no como tal el impacto (las consecuencias que puede ocasionar a la organización la materialización del riesgo).
Se recomienda además para el proceso de Gestión contra la Criminalidad y la Reincidencia, reevaluar los 12 riesgos de gestión, ya que el impacto suele ser igual (afectación de la imagen institucional, tal como aparece en los riesgos No 1, 26,3,10,42 y 43) y las causas inmediatas se determinan como actividades de un gran accionar que posiblemente pueda ser las causas de una solo riesgo operativo
Por último, falta incluir en la columna c el objetivo del proceso, de manera que se revise la formula matriz</t>
  </si>
  <si>
    <t>Se evidencia el ajuste realizado a la descripción del riesgo, aunque aún falta incluir la causa raíz del riesgo. Para ello se puede utilizar herramientas para identificar las causas, tales como los 5 porque's. Así mismo evaluar si al llegar a materializarse el riesgo solo origina un reproceso o si por el contrario puede tener otras consecuencias para la entidad y para el proceso. 
Evaluar si existen otros controles que ayuden a revisar o validar la información contenida en los certificados antes de su emisión, como parte de un control de salida no conforme, y no unicamente la socialización del procedimiento o lineamientos para llevar a cabo la actividad. Se recomienda analizar el riesgo, sus causas y consecuencias, con el fin de determinar controles preventivos y detectivos que eviten una posible materialización. 
Por último, falta incluir en la columna C el objetivo del proceso, de manera que se revise la formula matriz</t>
  </si>
  <si>
    <t xml:space="preserve">Revisado el riesgo, tal como se encuentra descrito contiene las características de un riesgo de corrupción, similar al riesgo No 7 del mismo proceso en el mapa de riesgos de corrupción. 
Se requiere evaluar por parte del proceso su pertinencia de mantenerlo como un riesgo de gestión y si así es el caso, reevaluar junto con el riesgo No 27 su articulación.
Tener cuidado al diligenciar la matriz, ya falta agregar en la columna C el objetivo del proceso. </t>
  </si>
  <si>
    <t xml:space="preserve">Se recomienda reevaluar el riesgo, la estructura de redacción del riesgo (impacto,causa inmediata y causa raíz), tienen errores en la definición, por los siguientes motivos:
- El impacto no puede ser la "inadecuada implementación de la política de drogas en los territorios", es puede ser más una causa que en sí el mismo riesgo.
- El impacto podría ser el incumplimiento de los objetivos institucionales o el objetivo misional del área, o efecto negativo en la satisfacción de las necesidades de nuestros grupos de interés
Así mismo, evaluar internamente las causas que originan y las consecuencias que puede llegar a tener el proceso en caso que se materialice el riesgo. La causa que se identificó tiene como origen la "Devolución de la documentación requerida para la contratación de personal." no tiene relación directa con el riesgo, o falta incluir otras causantes. Lo mismo sucede con la consecuencia, y desde allí se genera error en la definición del riesgo. Tener en cuenta la Guía de Administración del Riesgo del DAFP para su identificación. 
Siendo de esta manera, cuando se tiene definido un mal riesgo se definen controles deficientes que no están relacionados con el mismo riesgo. Se recomienda por parte del proceso evaluar los 12 riesgos de gestión y tener presente los riesgos de corrupción identificados, así como los riesgos de seguridad digital
</t>
  </si>
  <si>
    <t xml:space="preserve">Se recomienda analizar de nuevo el riesgo, de manera que se cumpla con la estructura del riesgo (impacto + causa inmediata + causa raíz) , ya tal como esta descrito el riesgo no tiene relación con la causa, consencuencia y control establecido. Se recomienda a través de herramientas comolos 5 porque's analizar la situación que esta generando el riesgo asociado con la formulación de la política de drogas. Es importante que se analice las diferentes causas y redefinir el riesgo,
Por tanto,no son efectivos los controles, por lo anteriormente mencionado.
Se espera para la siguiente medición el proceso atienda las recomendaciones presentadas por la OCI. </t>
  </si>
  <si>
    <t>Se evidencia que se ha adelantado la actualización de la definición del riesgo. Sin embargo, se debe revisar la metodología del DAFP con respecto al impacto y las causas raíz, ya que se establecen en todos los riesgos los factores y no como tal el impacto (denominese el impacto como las consecuencias que puede ocasionar a la organización la materialización del riesgo). Es así, que dentro del análisis que haga el proceso reevaluar los riesgos No 1, 26,3,10,42 y 43 relacionados como riesgos de imagen, para ellos se recomienda contar con el apoyo de herramientas para analizar las causas inmediatas y la causa raíz, tal como los 5 porque's. Además tener encuenta que dentro de la descripción del riesgo no debe caerse en el error de describir el riesgo como un incumplimiento, desviación o negación del control. Para ello tener presente la Guía de riesgos del DAFP.
Se recomienda al proceso reevaluar sus riesgos de gestión, teniendo presente los riesgos de corrupción y de seguridad digital que actualmente tengan, de tal manera, que se pueda contar con riesgos que determinen eventos posibles para la afectación del servicio, y no caer en el error de definir riesgos como causas y consecuencias
De acuerdo con lo anterior, no es posible valorar la efectividad de los controles. 
Por último, falta incluir en la columna c el objetivo del proceso, de manera que se revise la formula matriz</t>
  </si>
  <si>
    <t>Al revisar el riesgo, aún no cuenta con la estructura de diseño para la redacción del riesgo (impacto+causa inmediata+causa raíz) y de esta manera definir controles efectivos que ayuden a fortalecer el proceso. Se recomienda utilizar herramientas para tal fin, como por ejemplo los 5 porque's. 
Se generaliza en los 7 riesgos del proceso de GEstión de Talento HUmano deficiencia en la definición del riesgo (estructura), así mismo se encuentra que por riesgo existe una sola causa y una sola consecuencia. Algunos riesgos se pueden definir como causa o consecuencia si no se analiza de manera adecuada, y se estaría deficiendo controles ineficientes para el proceso. Se requiere con urgencia que el proceso analice todos sus riesgos y se lleven a cabo de manera metodológica teniendo como base el contexto del proceso, las fuentes de información, tales como pqrs, auditorias internas, resultado de indicadores, revisar los riesgos que tenga el proceso actual (riesgos de gestión, corrupción y de seguridad digital) para articularlos y determinar riesgos que permitan alertas los posibles eventos que puedan afectar el proceso. 
Se recomienda atender estas observaciones de manera que se revise y actualice el riesgo en la próxima medición y contar con las evidencias que soporten su ejecución.Además es necesario que se ajuste la acción del plan de tratamiento del riesgo, este es similar al control, por tanto no le aporta a su origen sobre la opción de manejo del riesgo que ha definido el proceso.
Por último, se recomienda mejorar en la descripción de análisis del monitoreo</t>
  </si>
  <si>
    <t>La OCI al verificar encuentra que falta incluir dentro de la estructura del riesgo la causa raíz. Se recomienda diligenciar la columna F (relación a los objetivos estratégicos de la entidad). Así como utilizar herramientas para analizar el riesgo para hallar la causa raíz y determinar los controles necesarios que fortalezcan y eviten la materialización del riesgo, tal como la herramienta del 5 porque's. Puede que dentro de las consecuencias y es generalizado en la gran mayoría de los riesgos encontrar que por riesgo se encuentra 1 causa y 1 consecuencia, es preciso simplificar los riesgos de gestión, algunos están definidos por causas y en sí como el riesgo, es por ello la importancia de entender la estructura para definir un buen riesgo y de esta manera controles efectivos. 
Para este riesgo, una consecuencia podría adicional ser afectación en la gestiòn y desempeño de la entidad, perdida de los certificados externos, perdida de imagen institucional, y entre sus causas: desconocimiento del SIG, debilidad en la socialización de los documentos de los procesos, debilidad en la identificación y gestión en acción de mejoras, falta de compromiso por parte de los responsables y equipos de cada proceso, debilidad en la apropiación de de los conceptos de la gestión de riesgos.
Es preciso que los ajustes a los riesgos se puedan ver reflejados para el próximo seguimiento y contar con avance de la gestión de los controles para evaluar su efectividad.</t>
  </si>
  <si>
    <t>Desde la OCI se revisa la estructura del riesgo, encontrando que se atendieron las recomendaciones anteriores. Es importante que se analice a partir de herramientas como los 5 porque's las causas raíz, con el fin de determinar nuevos controles que fortalezcan la gestión del riesgo, como por ejemplo: debilidad de la articulación institucional, aplicación de las directrices y lineamientos institucionales, desconocimiento de los objetivos institucionales  desconocimiento y falencias de las necesidades de los grupos de interés, para determinar acciones encaminadas a responder a los objetivos institucionales. 
Teniendo en cuenta que este riesgo se encuentra definido en la etapa de formulación, es preciso además de contar con un control posterior a la formulación, muy seguramente desde el proceso se cuenta con controles preventivos con el animo que este riesgo no se materialice. 
Se recomienda incluir dentro del monitoreo el avance en la ejecución de las acciones del plan de tratamiento del riesgo</t>
  </si>
  <si>
    <t xml:space="preserve">Se revisa el riesgo y su administración, encontrando que el proceso ha atendido las recomendaciones de la OCI con respecto a la estructura del riesgo, aunque falta que incluya en la descripción la causa raíz. Se recomienda utilizar herramientas para identificar la causa que origina el riesgo para definir controles que ayuden a eliminarlo. Además de analizar nuevas causas y consecuencias, este último punto es necesario advertir que al incumplir con las metas institucionales se está incumplimiendo con los objetivos institucionales y mets estratégicas, con una posible deficiencia en la prestación del servicio y por tanto la pérdida de confianza y credibilidad, así como sanciones e inestigaciones.
Por último, se recomienda incluir dentro del monitoreo el avance en la ejecución de las acciones del plan de tratamiento del riesgo
</t>
  </si>
  <si>
    <t xml:space="preserve">Aun se evidencia debilidad en la definición del riesgo, según la estructura para la definición del riesgo determinado en la Guía de riesgos del DAFP.
Analizar nuevamente el riesgo teniendo como base herramientas que ayuden a identificar las causas inmediatas y causa raíz para la definición del riesgo y de sus controles. Revisar el impacto del evento que contiene el posible riesgo, de tal manera, que no atender las soliciudes de repatriación de los ciudadanos colombianos no sea la mala imagen institucional, sino que por el contrario, conlleve a un impacto no tan generalizado como se ha evidenciado a lo largo de la revisión de los riesgos de este proceso. 
Al no tener definido el riesgo, se definen controles inadecuados o ineficientes para el proceso. Se recomienda por último incluir en la columna C el objetivo del proceso </t>
  </si>
  <si>
    <t>Al igual que las recomendaciones de los riesgos  del proceso que fueron analizados, se recomienda en general redefinir el riesgo utilizando herramientas que ayuden a identificar las causas inmediatas y su causa raíz, para determinar el impacto que conlleva la materialización del riesgo, evitando la generalización del impacto como "Mala imagen institcional" ya que este puede ser una consecuencia y no un impacto en si mismo. 
Al no tener definido el riesgo, se definen controles inadecuados o ineficientes para el proceso. Se recomienda por último incluir en la columna C el objetivo del proceso 
Se recomienda adicionalmente mejorar en la descripción del análisis, el cual debe presentar con medición o datos la ejecución de los controles y las acciones del plan de tratamiento del riesgo</t>
  </si>
  <si>
    <t xml:space="preserve">
El proceso en general en todos los riesgos de gestión, debe analizar y replantear los riesgos, ya que algunos podrían considerarse como causa o consecuencia, y en algunos casos se podrían simplificar. Se recomienda a través de herramienta de analisis la identificación de las causas inmediatas y causa raíz del evento que origina el riesgo. Además de tener presente la guía de riesgos del dafp para la estructuración del riesgo. El impacto no puede ser generalizado como "mala imagen" sino debe rvisar en especifico sobre la situación que genera el riesgo. Así mismo, revisar en cada uno de los riesgos del proceso la tipología del riesgo, en su mayoría están identiicados como riesgos estratégicos, y algunos como aparecen descritos pueden ser operativos. 
Al no tener definido el riesgo, se definen controles inadecuados o ineficientes para el proceso. Se recomienda por último incluir en la columna C el objetivo del proceso 
Se recomienda adicionalmente mejorar en la descripción del análisis, el cual debe presentar con medición o datos la ejecución de los controles y las acciones del plan de tratamiento del riesgo
</t>
  </si>
  <si>
    <t>La OCI en el proceso de revisión encuentra que el proceso ha realizado actualización del riesgo, atendiendo las recomendaciones de la OCI con la asesoría de la Oficina Asesora de Planeación. Es importante que se incluya además en la estructura del riesgo la causa raíz del riesgo, para ello se recomienda analizar las causas que conllevan al riesgo, como por ejemplo los 5 porque's. 
Verificar si existen más causas y consecuencias asociadas al riesgo, como por ejemplo debilidad en el seguimiento a la ejecución de las actividades misionales, de las cuales se identificará el origen del incumplimiento de la misionalidad y por ende la pérdida de credibilidad, o si dentro del análisis puede existir un impacto mayor. Así mismo se identifcó una sola consecuencia, de manera que si se llega a incumplir con la misionalidad no solo genera congestión de la justicia, sino otras situciones derivadas de tal evento. 
Tanto el control como la acción del plan de tratamiento se encuentran bien definidos, y al revisar los soportes se puede evidenciar la ejecución del control. 
Se recomienda seguir mejorando el análisis del desempeño del riesgo, de tal manera que se pueda describir la gestión (medida) del proceso.</t>
  </si>
  <si>
    <t>La OCI en el proceso de revisión encuentra que el proceso ha realizado actualización del riesgo, atendiendo las recomendaciones de la OCI con la asesoría de la Oficina Asesora de Planeación. Es importante que se incluya además en la estructura del riesgo la causa raíz del riesgo, para ello se recomienda analizar las causas que conllevan al riesgo, como por ejemplo los 5 porque's. 
Verificar si existen más causas y consecuencias asociadas al riesgo, dentro del análisis de causas, de forma que se determinen controles que mitiguen las causas identificadas. Evaluar si el impacto es la falta de credibilidad o es un impacto mayor sobre la prestación de los servicios hacia nuestros de interés. Se podría evaluar otras maneras de realizar la verificación a los centros de conciliación y a las entidades avaladas priorizadas, de manera que su periodicidad sea más corta, determinando alertas y toma de decisiones oportunas. 
Tanto el control como la acción del plan de tratamiento se encuentran bien definidos, y al revisar los soportes se puede evidenciar la ejecución del control. 
Se recomienda seguir mejorando el análisis del desempeño del riesgo, de tal manera que se pueda describir la gestión (medida) del proceso.</t>
  </si>
  <si>
    <t>La OCI al revisar la estructura del riesgo encuentra que se atendió medianamente las recomendaciones, aún queda pendiente agregar la causa raíz, para ello se recomienda utilizar la Guía de riesgos del DAFP y utilizar como herramienta los 5 porque's para identificar las causas y posibles consecuencias, lo cual puede generar nuevos controles que ayuden a fortalecer la administración del riesgo. Puede pasar que la causas no estén orientadas al mismo riesgo, ya que faltan causantes relacionadas con la falla en los esquemas de seguridad y movilidad, y esto no es solamente se origina con el incumplimiento de las obligaciones del contratista
Fallas en los esquemas de seguridad y movilidad
Es por ello, que una vez se revise y analice elriesgo puede determinarse controles para fortalecer la gestión del riesgo al interior del proceso. El control actual es de tipo detectivo, aunque debería contar con controles también de tipo preventivo de manera que se pueda responder a la opción de manejo utilizada.
Los soportes que evidencia el cumplimiento de la ejecución del control actual, y la acción del plan de tratamiento es similar al control, lo cual es otro ajuste que se debe llevar a cabo.
Se requiere con urgencia analizar y actualizar el riesgo para la siguiente medición, de manera que se tenga soportes que demuestren las acciones de cambio.</t>
  </si>
  <si>
    <t>Es preciso se analice nuevamente el riesgo y se tenga en cuenta las recomendaciones de la OCI frente a la estructura de la definición del riesgo (impacto+causa inmediata+ causa raíz) . Tener cuidado, ya que el riesgo actualmente definido es la misma consecuencia del riesgo. Por tanto no es posible evaluar los controles, porque desde el diseño del riesgo tiene deficiencias para su evaluación. 
Una vez se analicen los riesgos con sus causas y consecuencias, que puede realizarse con herramienta como los 5 porque's, se determinen controles efectivos que eviten la materialización del riesgo y a su vez fortalezcan al proceso.
Es preciso que se revisen y actualicen los riesgos antes del siguiente periodo de seguimeinto, con el fin de evaluar la efectividad de los controles.
Por último, es importante mejorar en la redacción de la descripción del monitoreo que de cuenta de la ejecución de los controles y de las acciones planteadas en el plan de tratamiento del riesgo. Para este periodo no se cuenta con el monitoreo por parte del proceso.</t>
  </si>
  <si>
    <t>Este riesgo es nuevo en el mapa de riesgos de gestión. Al revisar la estructura del riesgo (impacto+causa inmediata+causa raíz), se requiere revisar la redacción y estructura, en la causa raíz eliminar la palabra riesgo, y falta incluir la causa raíz. Se recomienda revisar a traves de herramientas como los 5 porque's el analisis del riesgos para determinar controles efectivos que ayuden a eliminar la causa raíz. Revisar la consecuencia ya que es el mismo riesgo en sí. Se puede tener como fuente los informes de auditoria interna para llevar a cabo dicho análisis.
La pérdida de información no solo se origina con la entrega del cargo, sino además del inventario de conocimiento que cuenta la entidad. Es necesario que se determinen controles de responsabilidad del líder del proceso, ya que este riesgo es liderado por la OAP, y se debe tener en cuenta la fuga de conocimiento por no gestionarlo o administrarlo adecuadamente,como por ejemplo que sucede con el conocimiento que surge de la prestación de servicios profesionales, entre otros. Es importante volver analizar dicho riesgo.
Es por ello, necesario que para la siguiente medición se cuente con estos ajustes para hacer la medición del caso.</t>
  </si>
  <si>
    <t>La OCI evidencia la atención de las observaciones de esta oficina, actualizando la descripción del riesgo. 
Se recomienda replantear la acción del plan de tratamiento del riesgo, ya que es similar a los controles del riesgo identificado, y no proceden acciones que fortalezcan al control establecido según la opción de manejo que se haya determinado.
se recomienda evaluar la pertinencia del riesgo o nuevos controles que eviten una posible materialización del mismo,según lo indican existe dificultad en la recopilación de la información necesaria para evaluar el riesgo; o si deben hacer ajustes al proceso para mejorar los tiempos de entrega de la información por parte de los actores que intervienen en el trámite.
Por último, falta incluir en la columna c el objetivo del proceso, de manera que se revise la formula matriz</t>
  </si>
  <si>
    <t>Al revisar el riesgo, aún no cuenta con la estructura de diseño para la redacción del riesgo (impacto+causa inmediata+causa raíz) y de esta manera definir controles efectivos que ayuden a fortalecer el proceso. Se recomienda utilizar herramientas para tal fin, como por ejemplo los 5 porque's. 
Se generaliza en los 7 riesgos del proceso de GEstión de Talento HUmano deficiencia en la definición del riesgo (estructura), así mismo se encuentra que por riesgo existe una sola causa y una sola consecuencia. Algunos riesgos se pueden definir como causa o consecuencia si no se analiza de manera adecuada, y se estaría deficiendo controles ineficientes para el proceso. Se requiere con urgencia que el proceso analice todos sus riesgos y se lleven a cabo de manera metodológica teniendo como base el contexto del proceso, las fuentes de información, tales como pqrs, auditorias internas, resultado de indicadores, revisar los riesgos que tenga el proceso actual (riesgos de gestión, corrupción y de seguridad digital) para articularlos y determinar riesgos que permitan alertas los posibles eventos que puedan afectar el proceso. 
Se recomienda atender estas observaciones de manera que se revise y actualice el riesgo en la próxima medición y contar con las evidencias que soporten su ejecución.Además es necesario que se ajuste la acción del plan de tratamiento del riesgo, este es similar al control, por tanto no le aporta a su origen sobre la opción de manejo del riesgo que ha definido el proceso.
Por último, se recomienda mejorar en la descripción de análisis del monitoreo y actualizar las acciones con corte 2023.</t>
  </si>
  <si>
    <t>La OCI al revisar la estructura del riesgo encuentra que se atendió medianamente las recomendaciones, aún queda pendiente agregar la causa raíz, para ello se recomienda utilizar la Guía de riesgos del DAFP y utilizar como herramienta los 5 porque's para identificar las causas y posibles consecuencias, lo cual puede generar nuevos controles que ayuden a fortalecer la administración del riesgo. Entre causas se podrían tener:  Falta de apropiación  respecto a la responsabilidad en el manejo, cuidado y custodia de los bienes muebles a cargo; debilidades en los controles de seguridad para el registro de ingreso y salida de personal de las instalaciones, y el manejo inadecuado de los bienes muebles en poder de la transportadora. Se recomienda actualizar las acciones con corte 2023.
Es por ello, que una vez se revise y analice elriesgo puede determinarse controles para fortalecer la gestión del riesgo al interior del proceso. El control actual es de tipo detectivo, aunque debería contar con controles también de tipo preventivo de manera que se pueda responder a la opción de manejo utilizada.
Los soportes evidencia el cumplimiento de la ejecución del control actual, y la acción del plan de tratamiento es similar al control, lo cual es otro ajuste que se debe llevar a cabo.
Se requiere con urgencia analizar y actualizar el riesgo para la siguiente medición, de manera que se tenga soportes que demuestren las acciones de cambio.</t>
  </si>
  <si>
    <t xml:space="preserve">La OCI al revisar la estructura del riesgo encuentra que se atendió medianamente las recomendaciones, aún queda pendiente agregar la causa raíz, para ello se recomienda utilizar la Guía de riesgos del DAFP y utilizar como herramienta los 5 porque's para identificar las causas y posibles consecuencias, lo cual puede generar nuevos controles que ayuden a fortalecer la administración del riesgo. Entre causas se podrían tener:  *Instalaciones que no cumplen con requisitos legales ejes SST y Ambiental, inadeacuada implementación de los lineamientos tecnicos de la entidad e inadeacuada implementación de normatividad constructiva. Se recomienda actualizar las acciones con corte 2023.
Es por ello, que una vez se revise y analice elriesgo puede determinarse controles para fortalecer la gestión del riesgo al interior del proceso. Los soportes evidencia el cumplimiento de la ejecución del control actual, y la acción del plan de tratamiento es similar al control, lo cual es otro ajuste que se debe llevar a cabo.
Se requiere con urgencia analizar y actualizar el riesgo para la siguiente medición, de manera que se tenga soportes que demuestren las acciones de cambio. </t>
  </si>
  <si>
    <t>Este riesgo es similar al anterior riesgo, se recomienda la posibilidad de simplificar o unificar ambos riesgos, de manera que se adelante un ejercicio de revisión, analisis y ajuste al mismo. Este cambio es necesario contar para el próximo seguimiento y contar con las evidencias que presentan la ejecución de los controles y acciones en el plan de tratamiento del riesgo. Solicitar a la OAP el acompañamiento para que brinde la asesoría en la identificación de riesgos, teniendo como base la guía de riesgos del DAFP.
Se recomienda actualizar las acciones con corte 2023.</t>
  </si>
  <si>
    <t>AL revisar la estructura del riesgo, falta incluir la causa raíz que conlleva al riesgo. El proceso ha atendido las recomendaciones de la OCI con respecto a este riesgo en particular.
Revisar si existen otras causas y consecuencias del riesgo para determinar controles que ayuden a prevenirlo. 
Se recomienda mejorar el análisis, el cual debe presentar la ejecución del control y las acciones del plan de tratamiento del riesgo, con información que demuestre su gestión. 
Se recomienda actualizar las acciones con corte 2023.</t>
  </si>
  <si>
    <t>La OCI al revisar la estructura del riesgo encuentra que se atendió medianamente las recomendaciones, aún queda pendiente agregar la causa raíz, para ello se recomienda utilizar la Guía de riesgos del DAFP y utilizar como herramienta los 5 porque's para analizar el riesgo.
Tener encuenta el diligenciamiento de todas las casillas de la matriz, falta la columna F y no se cuenta con el análisis del monitoreo del riesgo.
La acción del plan de tratamiento no puede ser el mismo control, se debe definir una acción orientado a la opción de manejo determinado por el proceso, para este caso "asumir el riesgo".Esta acción es una estrategia que fortalezca el control.
Por último, se requiere con urgencia mejorar en la descripción del análisis del monitoreo de la ejecución del control y de las acciones del plan de tratamiento.
Además al no contar con el monitoreo por parte del proceso, se dificulta evaluar la efectividad de los controles. Se recomienda actualizar las acciones con corte 2023.</t>
  </si>
  <si>
    <t xml:space="preserve">Al revisar el riesgo se atendió las recomendaciones en mediana medida, falta incluir la causa raíz. Para ello, se recomienda utilizar como herramienta para dicho ejercicio los 5 porque's. Una vez se tenga la causa raíz se puede definir controles que ayuden a mitigar el riesgo en la entidad. Entre las causantes se podría tener: falta de interoperabilidad de los sistemas de información, desinterés o compromiso en la entrega de la información institucional. 
Tanto el control como la acción del plan de tratamiento se encuentran bien definidos, y al revisar los soportes se puede evidenciar la ejecución del control. 
Se recomienda seguir mejorando el análisis del desempeño del riesgo, de tal manera que se pueda describir la gestión (medida) del proceso.
Se recomienda actualizar las acciones con corte 2023.
</t>
  </si>
  <si>
    <t>Al revisar el riesgo, se ha atendido parcialmente las observaciones de la OCI.Falta incluir dentro de la estructura del riesgo la causa raíz. Cuando no se determina s causa raíz no es posible definir controles efectivos que ayuden a fortalecer el proceso. Se recomienda utilizar herramientas para tal fin, como por ejemplo los 5 porque's. 
Entre las posibles causas se podría tener:Falta de compromiso por parte del colaborador responsable para cumplir con los términos legalmente establecidos para gestionar y dar respuesta asi como el respectivo cargue de evidencias en el sistema de información, y debilidad en el seguimiento de la generación de alertas. Se requieren controles preventivos con el fin de evitar que se llegue a materializar el riesgo.
Se recomienda atender estas observaciones de manera que se revise y actualice el riesgo en la próxima medición y contar con las evidencias que soporten su ejecución.Además es necesario que se ajuste la acción del plan de tratamiento del riesgo, este es similar al control, por tanto no le aporta a su origen sobre la opción de manejo del riesgo que ha definido el proceso.
Por último, se recomienda mejorar en la descripción de análisis del monitoreo y actualizar el reporte con corte 2023, ya que se presenta la evidencia 2022.</t>
  </si>
  <si>
    <t>La OCI revisó el riesgo definido y actualizó según la estructura para la redacción del riesgo en la guía de riesgos de Función Pública y respondiendo a la capacitación realizada por la Oficina Asesora de Planeación. 
Se revisan las evidencias entregadas por el proceso, verificando y evaluando la efectividad de sus controles. Se recomienda actualizar las acciones con corte 2023.</t>
  </si>
  <si>
    <t xml:space="preserve">La OCI al revisar la estructura del riesgo encuentra que se atendió medianamente las recomendaciones, aún queda pendiente agregar la causa raíz, para ello se recomienda utilizar la Guía de riesgos del DAFP y utilizar como herramienta los 5 porque's para analizar el riesgo.
Tener encuenta el diligenciamiento de todas las casillas de la matriz, falta la columna F.
La acción del plan de tratamiento debe contar con una periodicidad para llevar a cabo el seguimiento del mismo. Se recomienda redefinir la acción de manera que se relacione con el análisis de los casos que presentaron inconsistencias para la toma de decisiones.
Por último, se requiere con urgencia mejorar en la descripción del análisis del monitoreo de la ejecución del control y de las acciones del plan de tratamiento. Se recomienda actualizar las acciones con corte 2023, ya que las evidencias se reportaron con corte 2022 y estamos realizando seguimiento corte primer cuatrimestre 2023
</t>
  </si>
  <si>
    <t xml:space="preserve">Liderar y ejecutar las actividades propias de la administración y gestión del talento humano, aplicando la normativa vigente y los procedimientos establecidos en la entidad para contribuir a la consecución de los objetivos institucionales. </t>
  </si>
  <si>
    <t>Afectación negativa en el desarrollo de procesos y procedimientos que impactan  el logro de la misionalidad del Ministerio de Justicia y del Derecho, por alta rotación o ausentismo del personal vinculado a planta o por contrato de prestación de servicios</t>
  </si>
  <si>
    <t>Ausencia de colaboradores por incapacidades o decesos (enfermedad, pandemias, siniestros) que pertenezcan a un mismo grupo</t>
  </si>
  <si>
    <t>Afectación en el desarrollo del proceso al que pertenece él o los colaboradores</t>
  </si>
  <si>
    <t xml:space="preserve">El jefe inmediato, responsable  del proceso descubierto por un  periodo mayor a un mes, solicita  a la coordinación del Grupo de Gestión Humana, se verifique en planta la disposición y disponibilidad del cubrimiento de la necesidad.El/a Coordinador/a de Gestión Humana, revisará la disponibilidad de personal al interior de la entidad, acorde con las necesidades del servicio, para identificar las alternativas existentes y se las informará al jefe inmediato.
Se procede a informar al jefe inmediato actual del servidor/a s postulado/as y al mismo servidor/a la viabilidad de dicha acción.
Este control aplicará solo en caso de que el procedimiento se encuentre catalogado como crítico.
Evidencia: Correos electrónicos, 
</t>
  </si>
  <si>
    <t>Análisis de ausentismo del personal de planta por parte del equipo de seguridad y salud en el trabajo
Medidas preventivas laborales y de calidad de vida con permanente monitoreo y capacitación 
Despliegue de los  Programas de Vigilancia Epidemiológica de la Entidad ( psicosocial, cardiovascular, desórdenes musculo esqueléticos)</t>
  </si>
  <si>
    <t>Insuficiencia de cantidad de personal para realizar el proceso y alta rotación de personal vinculado a planta o por contrato</t>
  </si>
  <si>
    <t>Sobrecarga laboral  y afectación negativa en el funcionamiento del procedimiento al que pertenece, impactando otras áreas.</t>
  </si>
  <si>
    <r>
      <t xml:space="preserve">El/a lideresa (Director/a, Subdirector/a, coordinado/ar, jefe) de cada dependencia del Ministerio de Justicia y del Derecho que hacen parte de los procedimientos identificados como críticos en el Plan de Continuidad del Negocio, permanentemente realiza entrenamiento cruzado entre sus colaboradores; con el fin de contar con un suplente para cada uno de los cargos y funciones dentro de su equipo de trabajo, en caso de presentarse un ausentismo dentro de su equipo de trabajo pueda ser cubierto internamente. </t>
    </r>
    <r>
      <rPr>
        <b/>
        <sz val="11"/>
        <rFont val="Abadi"/>
        <family val="2"/>
      </rPr>
      <t>Evidencia:</t>
    </r>
    <r>
      <rPr>
        <sz val="11"/>
        <rFont val="Abadi"/>
        <family val="2"/>
      </rPr>
      <t xml:space="preserve"> Matriz de colabores del grupo de trabajo y su correspondiente suplente.
En caso de que la ausencia se prolongue más de un mes y no haya sido suplida por alguien vinculado a planta o por contrato, además se detecte sobrecarga para el /a colaborador/a suplente , se formaliza la necesidad del proceso de contratación de forma ágil y oportuna 
 Evidencia: Contratación.</t>
    </r>
  </si>
  <si>
    <t>Fortalecer las competencias del personal de planta.
Procesos de inducción reinducción en desarrollo
Documentar la estrategia para unificar el accionar de lo/as líder/esas frente a la suplencia en los liderazgos de los procedimientos a cargo
Basar decisiones en los últimos análisis de cargas y documentos de la Oficina Asesora de Planeación que argumentan las solicitudes (Revisión de los procesos y procedimientos asociados a la ejecución de las actividades, entre otros)</t>
  </si>
  <si>
    <t>Realizar el proceso de contratación</t>
  </si>
  <si>
    <t>Ejecución manual y no automática del proceso de actualización en el SICAAC de las estadísticas de la conciliación en derecho</t>
  </si>
  <si>
    <t>Reportes e informes con cifras desactualizadas</t>
  </si>
  <si>
    <t>Pérdida de imagen institucional por la desactualización de la información estadística de la conciliación en derecho que se publica semestralmente en el Sistema de Información de la Conciliación, el Arbitraje y la Amigable  Composición (SICAAC) por deficiencias en el seguimiento al reporte de la misma</t>
  </si>
  <si>
    <r>
      <t xml:space="preserve">La Dirección de Métodos Alternativos de Solución de Conflictos periodicamente verifica en el SICAAC la fecha de corte de la publicación semestral de la información estadística de la conciliación. Si se presenta alguna inconsistencia se reporta por correo electrónico a la Dirección de Tecnología para adelantar la gestión correspondiente. 
</t>
    </r>
    <r>
      <rPr>
        <i/>
        <sz val="11"/>
        <rFont val="Abadi"/>
        <family val="2"/>
      </rPr>
      <t>Evidencia: Pantallazo de verificación en el SICAAC y correo electrónico enviado al área de tecnología cuando aplique.</t>
    </r>
  </si>
  <si>
    <t>Aplicar las correcciones a que haya lugar para que los datos se presenten con la calidad que se requiere</t>
  </si>
  <si>
    <t>Cuando se materialice el riesgo</t>
  </si>
  <si>
    <t>Personal del proceso estadístico OECED</t>
  </si>
  <si>
    <t>Soportes de las correcciones realizadas</t>
  </si>
  <si>
    <t>El riesgo no se ha materializado, el control ha sido efectivo
Durante el segundo cuatrimestre de 2023, se verificó  la fecha de corte de la publicación semestral de la información estadística de la conciliación en el SICAAC. Como resultado de ello, se envió correo al área de tecnología para realizar la actualización correspondiente, lo cual fue efectuado a satisfacción.
Evidencias: correo electrónico al área de tecnología, pantallazo de la actualización semestral de las estadísticas en el SICAAC.
Nota: Durante los meses de mayo y junio de 2023 se realizó la formulación e incorporación del nuevo riesgo en cumplimiento de lo establecido en la Norma Técnica de Calidad del Proceso Estadístico NTC PE 1000:2020.</t>
  </si>
  <si>
    <t>Desconocimiento del procedimiento establecido para la formulación de proyectos normativos</t>
  </si>
  <si>
    <t>DMASC: El riesgo no se ha materializado, el control ha sido efectivo
Con corte a agosto de 2023, la Dirección de Métodos Alternativos de Solución de conflictos remitió a toda la dependencia una infografía y los procedimientos vigentes sobre producción normativa, con el fin de sensibilizar y fortalecer la aplicación de estos lineamientos cuando se formulen normas de competencia de la dependencia.
Evidencias: correo electrónico de la sensibilización realizada</t>
  </si>
  <si>
    <t>Formulación normativa que no satisfaga las necesidades de la población, al generar proyectos normativos con vicios de nulidad, que no cumplan con el ordenamiento jurídico vigente  y con las metodologías y lineamientos existentes para la producción normativa, por no tener conocimiento del ordenameinto jurídico existente</t>
  </si>
  <si>
    <t>Pérdida de credibilidad en el uso de los métodos de resolución de conflictos (MRC) por deficiencias en la implementación de los Programas de la Dirección de Métodos Alternativos de Solución de Conflictos en los territorio, al desconocer las ventajas de su aplicación en los territorios</t>
  </si>
  <si>
    <t>Generar lineamientos, herramientas y acciones que propicien el acceso a la justicia a trav´pes de la articulación y coordinación para el desarrollo de iniciativas sectoriales, la implementación de estrategias y actividades con enfoque étnico, de género y para las personas con discapacidad, la promoción y uso de los métodos de resolución de conflictos en los territorios, la implementación de modelos de atención y el fortalecimiento de Comisarías de Familia y Consultorios Jurídicos, en desarrollo de las políticas y las competencias del Ministerio de Justicia y del Derecho</t>
  </si>
  <si>
    <t>Desconocimiento de los procedimientos o lineamientos para la implementación del Programa</t>
  </si>
  <si>
    <t>Desconocimiento de los procedimientos o lineamientos para la implementación de los MRC</t>
  </si>
  <si>
    <t>El coordinador del grupo de casas de justicia y convivencia ciudadana, quien designe o el enlace de calidad de la DMASC realiza una capacitación sobre los lineamientos y procedimientos vigentes del Programa para fortalecer su aplicación. Si no asiste la mayoría de los integrantes se efectúa la socialización del material a través del correo electrónico. Evidencia: Soporte de asistencia a la capacitación con el material respectivo, correo electrónico de socialización</t>
  </si>
  <si>
    <t>La coordinadora del grupo de justicia en equidad, quien designe o el enlace de calidad de la DMASC realiza una capacitación sobre los lineamientos y procedimientos vigentes del Programa para fortalecer su aplicación. Si no asiste la mayoría de los integrantes se efectúa la socialización del material a través del correo electrónico. Evidencia: Soporte de asistencia a la capacitación con el material respectivo, correo electrónico de socialización.</t>
  </si>
  <si>
    <t>El coordinador del grupo de justicia en equidad, quien designe o el enlace de calidad de la DMASC realiza una capacitación sobre los lineamientos y procedimientos vigentes del Programa para fortalecer su aplicación. Si no asiste la mayoría de los integrantes se efectúa la socialización del material a través del correo electrónico. Evidencia: Soporte de asistencia a la capacitación con el material respectivo, correo electrónico de socialización.</t>
  </si>
  <si>
    <t>No se aporta a la convivencia ni solución de los conflictos en las comunidades</t>
  </si>
  <si>
    <r>
      <rPr>
        <strike/>
        <sz val="11"/>
        <rFont val="Abadi"/>
      </rPr>
      <t>I</t>
    </r>
    <r>
      <rPr>
        <sz val="11"/>
        <rFont val="Abadi"/>
      </rPr>
      <t>ncumplimiento en la ejecución  de las actividades misionales</t>
    </r>
  </si>
  <si>
    <t>Director(a) de MASC con el apoyo del coordinador(a) del grupo JE y el enlace de calidad</t>
  </si>
  <si>
    <t>Refuerzo en la capacitación o sensibilización al grupo de trabajo para garantizar la aplicación del procedimiento vigente, si no se aplican los lineamientos establecidos</t>
  </si>
  <si>
    <t xml:space="preserve">Refuerzo en la capacitación o sensibilización al grupo de trabajo para garantizar la aplicación del procedimiento vigente, si no se aplican los lineamientos establecidos </t>
  </si>
  <si>
    <t xml:space="preserve">Soporte de realización del refuerzo de la capacitación o sensibilización </t>
  </si>
  <si>
    <r>
      <rPr>
        <i/>
        <u/>
        <sz val="11"/>
        <color theme="1"/>
        <rFont val="Abadi"/>
      </rPr>
      <t>El riesgo no se ha materializado, el control ha sido efectivo</t>
    </r>
    <r>
      <rPr>
        <sz val="11"/>
        <color theme="1"/>
        <rFont val="Abadi"/>
        <family val="2"/>
      </rPr>
      <t xml:space="preserve">
Con corte a agosto de 2023 se reformuló la totalidad del riesgo, los controles y el tratamiento establecido atendiendo las observaciones realizadas por la OCI; por tal motivo, el seguimiento se realiza sobre el nuevo control que se definió.
Con corte al periodo de seguimiento se brindó capacitación al grupo de casas de justicia y convivencia ciudadana para fortalecer la aplicación de los lineamientos internos del Programa y de esta forma aportar en la correcta implementación y acompañamiento técnico que se brinda a las entidades territoriales y a los modelos de atención.
</t>
    </r>
    <r>
      <rPr>
        <i/>
        <sz val="11"/>
        <color theme="1"/>
        <rFont val="Abadi"/>
      </rPr>
      <t>Evidencias: Mapa de riesgos con los ajustes realizados, soportes de la capacitación brindada, material presentado.</t>
    </r>
  </si>
  <si>
    <r>
      <rPr>
        <i/>
        <u/>
        <sz val="11"/>
        <color theme="1"/>
        <rFont val="Abadi"/>
      </rPr>
      <t>El riesgo no se ha materializado, el control ha sido efectivo</t>
    </r>
    <r>
      <rPr>
        <sz val="11"/>
        <color theme="1"/>
        <rFont val="Abadi"/>
        <family val="2"/>
      </rPr>
      <t xml:space="preserve">
Con corte a agosto de 2023 se reformuló la totalidad del riesgo, los controles y el tratamiento establecido atendiendo las observaciones realizadas por la OCI; por tal motivo, el seguimiento se realiza sobre el nuevo control que se definió.
Al finalizar la vigencia se proyecta realizar una capacitación sobre el procedimiento que se está actualizando en materia de conciliación en equidad, con el fin de apropiar los lineamientos establecidos con el grupo interno y de esta forma aportar en su correcta aplicación.
</t>
    </r>
    <r>
      <rPr>
        <i/>
        <sz val="11"/>
        <color theme="1"/>
        <rFont val="Abadi"/>
      </rPr>
      <t>Evidencias: Mapa de riesgos con los ajustes realizados, soporte de actualización del procedimiento.</t>
    </r>
  </si>
  <si>
    <r>
      <rPr>
        <i/>
        <u/>
        <sz val="11"/>
        <color theme="1"/>
        <rFont val="Abadi"/>
      </rPr>
      <t>El riesgo no se ha materializado, el control ha sido efectivo</t>
    </r>
    <r>
      <rPr>
        <sz val="11"/>
        <color theme="1"/>
        <rFont val="Abadi"/>
      </rPr>
      <t xml:space="preserve">
Con corte a agosto de 2023 se ejecutó el plan de capacitación que fue programado en la vigencia para fortalecer los conocimientos y habilidades de los integrantes del grupo de conciliación extrajudicial en derecho, arbitraje y amigable composición, en aras de garantizar la aplicación de los lineamientos del Programa, el manejo y uso del SICAAC y en materia de gestión documental. Asimismo, se efectuaron con el propósito de prevenir la materialización de riesgos que puedan surgir en la ejecución de los procedimientos asociados a los trámites y en el ejercicio de las funciones de inspección, control y vigilancia que se ejercen sobre los centros de conciliación, arbitraje y amigable composición. Las capacitaciones se realizaron en los siguientes temas:
1) Manejo y registro de información en el Sistema de Información de Conciliación Extrajudicial en Derecho, Arbitraje y Amigable Composición (SICAAC) (I semestre 2023).
2) Procedimiento de visitas de inspección, control y vigilancia (I semestre 2023).
3) Lineamientos del Programa Nacional de Conciliación Extrajudicial en Derecho, Arbitraje y Amigable Composición, correspondientes a los procedimientos, guías y manuales vigentes que se encuentran formalizados en el SIG (I semestre 2023).
4) Gestión documental (I semestre 2023).
5) Diligenciamiento de los instrumentos de visitas de inspección, control y vigilancia (I semestre 2023).
6) Refuerzo en los lineamientos del Programa Nacional de Conciliación Extrajudicial en Derecho, Arbitraje y Amigable Composición, correspondientes a los procedimientos, guías y manuales vigentes que se encuentran formalizados en el SIG  (II semestre 2023).
Así las cosas, también se acogió la observación realizada por parte de la OCI de reforzar en el segundo semestre del año con una capacitación más al grupo CEDAAC en materia de procedimientos.
</t>
    </r>
    <r>
      <rPr>
        <i/>
        <sz val="11"/>
        <color theme="1"/>
        <rFont val="Abadi"/>
      </rPr>
      <t xml:space="preserve">
Evidencias suministradas: Mapa de riesgos con los ajustes realizados, plan de trabajo con el seguimiento respectivo, con el soporte de las 6 capacitaciones realizadas y correos electrónicos de socialización.</t>
    </r>
  </si>
  <si>
    <t>Falta de credibilidad en las actividades de inspección control y vigilancia a los centros de conciliación, por el incumplimiento o debilidades en la realización de visitas  a los Centros de Conciliación, Arbitraje y Amigable Composición y Entidades avaladas priorizados, según la funciones legal de inspección, control y vigilancia</t>
  </si>
  <si>
    <t>Deficiencias en la priorización de los cenros de conciliación, arbitraje y amigable composición y entidades avaladas</t>
  </si>
  <si>
    <t>Inadecuado diligenciamiento de los instrumentos aplicados en las visitas de inspección, control y vigilancia</t>
  </si>
  <si>
    <t>Desconocimiento de los procedimientos o lineamientos para la realización de las visitas de inspección, control y vigilancia</t>
  </si>
  <si>
    <r>
      <rPr>
        <strike/>
        <sz val="11"/>
        <rFont val="Abadi"/>
        <family val="2"/>
      </rPr>
      <t>I</t>
    </r>
    <r>
      <rPr>
        <sz val="11"/>
        <rFont val="Abadi"/>
        <family val="2"/>
      </rPr>
      <t xml:space="preserve">ncumplimiento en la aplicación de la normatividad vigente </t>
    </r>
  </si>
  <si>
    <t>El riesgo no se ha materializado, el control ha sido efectivo
Con corte a agosto de 2023, se diligenció el formato de la priorización de las visitas de inspeccción, control y vigilancia establecido en el procedimiento. Visitas que se han realizado con corte a la fecha.
Evidencias: formato de priorización de visitas de inspección.</t>
  </si>
  <si>
    <t xml:space="preserve">Deficiencias en la priorización de los cenros de conciliación, arbitraje y amigable composición y entidades avaladas </t>
  </si>
  <si>
    <t>DMASC:  El riesgo no se ha materializado, el control ha sido efectivo
Con corte a agosto de 2023, la Dirección de Métodos Alternativos de Solución de conflictos realizó siete (7) mesas técnicas con los grupos de la dependencia para la construcción y actualización de los documentos de política pública. 
Evidencias: asistencia de las mesas técnicas realizadas.
En razón a que la Dirección de Política Criminal y Penitenciaria se encuentra en el ejercicio de implementación del Conpes 4089 de 2022 mediante el cual se adopta el Plan Nacional de Política Criminal, y no se han formulado políticas públicas adicionales, sino que algunos instrumentos están en proceso de priorización por parte de la alta Dirección, para el periodo de corte no se evidencia la materialización del riesgo.</t>
  </si>
  <si>
    <t>No se ha materializado el riesgo. 
Una vez revisado los riesgos, la DPCP, ha establecido una metodología de aplicación de los instrumentos de verificación del estado de la garantía de los DDHH de los adolescentes y jóvenes privados de la libertad en el SRPA, definiendo el paso a paso y las entidades con las que el Ministerio debe articularse para cumplir con esta tarea.
Lo anterior con el fin de minimizar los riesgos durante la aplicación de los instrumentos".</t>
  </si>
  <si>
    <t>No se ha materializado el riesgo.
Una vez revisados los riesgos, se evidencia que la Dirección de Política Criminal y Penitenciaria,  hace un seguimiento formal y material a los compromisos objeto de seguimiento por parte de la Dirección y bajo este entendido indica que a la fecha de este reporte no se habría materializado el riesgo objeto de análisis. (complementando  este riesgo se adjunta el procedimiento seguimiento a los establecimientos de reclusión del orden nacional con el que se tienen y el cual se esta consolidando los formatos para que sea implementado). A su vez se han realizado distintas visitas a los establecimientos, de conformidad a los adjuntos remitidos</t>
  </si>
  <si>
    <t>El seguimiento lo hace de forma directa el i) Director de Asuntos Internacionales o el Coordinador del Grupo de Traslado de Personas Condenadas, ii) el abogado que realiza el trámite ii)  para el periodo de mayo a agosto de la vigencia actual,  se realizaron los estudios de solicitudes de Repatriación para su estudio ante la Comisión Intersectorial con la validación de la documentación completa de los expedientes. Toda vez que los controles han sido efectivos, no se ha materializado el riesgo.</t>
  </si>
  <si>
    <t>Se realiza la verificación oportuna cada semana, que se esté cumpliendo los plazos y que se atiendan las solicitudes de extradición oportunamente de conformidad con los procedimientos legales. Toda vez que los controles han sido efectivos, no se ha materializado el riesgo.</t>
  </si>
  <si>
    <t>Durante el segundo cuatrimestre de 2023 no se ha materializado el riesgo, actualmente han sido efectivos los controles realizados al parque automotor correspondientes al mantenimiento preventivo y correctivo que son ejecutados por medio del contrato 1063  y ordenes de compra 110386-110435-110540-110381-110382 con la supervición de cada uno por parte del GAIT a su vez se implemento la matriz del plan anual de mantenimiento la cual se encuentra en actualización para vigencia 2023, los requerimientos de servicios están siendo coordinados por un integrante del grupo,  el cual genera la validación desde su inicio hasta el final por medio de la plataforma Aranda y las planillas de recorridos por automovil. Para el período a reportar se cuenta con la finalización de implementación del Plan de seguridad Vial el cual fue compartido a la entidad el día 30 de agosto de 2023 por medio de correo electronico con en el documento Resolución 1140 del 29 de agosto de 2023. Se adelanta reunión con en el Grupo de Gestión Administrativa el día 29 de agosto de 2023 siendo las acciones planteadas por la Oficina de Control Interno  transversales con esta dependenciay llegando a la conclusión de plantear reunión con la oficina asesora de planeación para próximo mes.
Anexos: 
Solicitudes de pago mantenimientos parque automotor
Plan de mantenimientos
Planillas de recorridos
Reporte de servicios generados.
Resolución 1140 del 29 de agosto de 2023
Acta de reunión 29 de agosto de 2023- Citacion por TEAMS.</t>
  </si>
  <si>
    <t>Entre mayo y agosto de 2023, el circuito interno de cámaras de vigilancia funcionó de manera correcta en las sedes Chapinero, Centro y Paloquemao, por el mantenimiento permanente realizado por la empresa Unión Temporal AS. Esta  reportó cambios de discos duros, revisión al domo de recepción, cámaras e impresora de adhesivos del control de ingreso de visitantes, cambio de cables, de acuerdo con los informes de control de servicios. En este periodo no se materiazó el riesgo.</t>
  </si>
  <si>
    <t>En el segundo cuatrimestre de 2023, el MJD, a través del GGA, sucribió dos contratos para el mantenimiento del equipo de rayos x y aires acondicionados. Asi mismo, a través de un acuerdo marco de precios se adquirieron artículos de ferretería y maquinaria eléctrica, elementos utilizados en el mantenimiento de las instalaciones. Actividades programadas a tiempo acorde con los mantenimientos preventivos requeridos.
Durante el periodo estudiado, el MJD no solicitó a ENEL ni a EAAB la suspensión de servicios para adelantar mantenimiento o arreglos en las redes hidraúlicas eléctricas. Cuando es necesario hacer mantenimiento, los técnicos del GGA suspenden el servicio del agua del piso objeto de la intervención.
En relación con la contratación del lavado de tanques, en el periodo se estructuró el proceso precontractual y fue publicada.
Respecto al mantenimento de la planta eléctrica fue publicada la oferta de este servicio y se realizan la evaluación para la adjudicación.
El ingeniero Juan Carlos Polanco realizó inspección técnica a las instalaciones de las sedes Chapinero y Centro, a raiz de los sismos y replicas sucedidas el 17 y 18 de agosto. El resultado es que las edificaciones no se hallaron fallas estructurales. 
No se han materializado los riesgos.</t>
  </si>
  <si>
    <r>
      <rPr>
        <b/>
        <sz val="11"/>
        <color rgb="FF000000"/>
        <rFont val="Calibri"/>
        <scheme val="minor"/>
      </rPr>
      <t xml:space="preserve">No ha existido materializaciòn del riesgo. 
No se han presentado reclamaciones con la informaciòn publicada en los canales de informaciòn del MJD.
</t>
    </r>
    <r>
      <rPr>
        <sz val="11"/>
        <color rgb="FF000000"/>
        <rFont val="Calibri"/>
        <scheme val="minor"/>
      </rPr>
      <t xml:space="preserve">El profesional que va a publicar la informaciòn oficial revisa los términos tècnicos, los convierte en lenguaje claro y de fácil comprensión con la asesoría permanente de su fuente de información, las dependencias autorizadas o delegadas por la alta gerencia de la entidad. Esta actividad se coordina en los consejos de redacción que realiza la Oficina al inicio de cada semana, espacio donde se informa sobre la informaciòn que se va difundir en la semana y los medios que se van a utilizar. 
</t>
    </r>
    <r>
      <rPr>
        <b/>
        <sz val="11"/>
        <color rgb="FF000000"/>
        <rFont val="Calibri"/>
        <scheme val="minor"/>
      </rPr>
      <t xml:space="preserve">Evidencias:
</t>
    </r>
    <r>
      <rPr>
        <sz val="11"/>
        <color rgb="FF000000"/>
        <rFont val="Calibri"/>
        <scheme val="minor"/>
      </rPr>
      <t>*</t>
    </r>
    <r>
      <rPr>
        <b/>
        <sz val="11"/>
        <color rgb="FF000000"/>
        <rFont val="Calibri"/>
        <scheme val="minor"/>
      </rPr>
      <t>Productos comunicacionales publicados</t>
    </r>
    <r>
      <rPr>
        <sz val="11"/>
        <color rgb="FF000000"/>
        <rFont val="Calibri"/>
        <scheme val="minor"/>
      </rPr>
      <t xml:space="preserve"> en la Web, intranet y redes sociales, principalmente.
https://intranet.minjusticia.gov.co/
https://minjusticia.gov.co/
https://www.facebook.com/MinJusticiaCo/
https://twitter.com/MinjusticiaCo
https://www.instagram.com/minjusticiaco/
https://www.youtube.com/@MinJusticiaCo
https://www.tiktok.com/@minjusticiaco
*</t>
    </r>
    <r>
      <rPr>
        <b/>
        <sz val="11"/>
        <color rgb="FF000000"/>
        <rFont val="Calibri"/>
        <scheme val="minor"/>
      </rPr>
      <t>Actas</t>
    </r>
    <r>
      <rPr>
        <sz val="11"/>
        <color rgb="FF000000"/>
        <rFont val="Calibri"/>
        <scheme val="minor"/>
      </rPr>
      <t xml:space="preserve"> de las reuniones semanales del Consejo de Redacción de la OPC. Se proporciona el link en el cuerpo del corrreo de entrega del avance solicitado y se pega enseguida:
</t>
    </r>
    <r>
      <rPr>
        <b/>
        <sz val="11"/>
        <color rgb="FF000000"/>
        <rFont val="Calibri"/>
        <scheme val="minor"/>
      </rPr>
      <t xml:space="preserve">Link:
</t>
    </r>
    <r>
      <rPr>
        <sz val="11"/>
        <color rgb="FF000000"/>
        <rFont val="Calibri"/>
        <scheme val="minor"/>
      </rPr>
      <t>https://minjusticiagovco-my.sharepoint.com/:f:/g/personal/prensajusticia_minjusticia_gov_co/EpAAxVW-sFhDu-oBlwh6pS8Br1RFfyx6L7WKojenKIRZdw?e=PuMSRK</t>
    </r>
  </si>
  <si>
    <r>
      <rPr>
        <b/>
        <sz val="11"/>
        <color theme="1"/>
        <rFont val="Calibri"/>
        <family val="2"/>
        <scheme val="minor"/>
      </rPr>
      <t>El riesgo no se ha materializado.</t>
    </r>
    <r>
      <rPr>
        <sz val="11"/>
        <color theme="1"/>
        <rFont val="Calibri"/>
        <family val="2"/>
        <scheme val="minor"/>
      </rPr>
      <t xml:space="preserve">
La OPC maneja un formulario de solicitudes  de difusión a nivel externo que tiene a disposición de las dependencias del ministerio para que hagan sus requerimentos de difusión a nivel externo  dirigido al correo prensajusticia.gov.co. Esto ha facilitado contar con la trazabilidad de la gestión de la oficina.
</t>
    </r>
    <r>
      <rPr>
        <b/>
        <sz val="11"/>
        <color theme="1"/>
        <rFont val="Calibri"/>
        <family val="2"/>
        <scheme val="minor"/>
      </rPr>
      <t xml:space="preserve">Evidencia: </t>
    </r>
    <r>
      <rPr>
        <sz val="11"/>
        <color theme="1"/>
        <rFont val="Calibri"/>
        <family val="2"/>
        <scheme val="minor"/>
      </rPr>
      <t>Algunos pantallazos en un word del correo de la OPC y que se adjunta al cuerpo del correo de reporte a la OAP de los riesgos de la Oficina.</t>
    </r>
  </si>
  <si>
    <r>
      <rPr>
        <b/>
        <sz val="11"/>
        <color theme="1"/>
        <rFont val="Calibri"/>
        <family val="2"/>
        <scheme val="minor"/>
      </rPr>
      <t>No se ha materializado el riesgo.</t>
    </r>
    <r>
      <rPr>
        <sz val="11"/>
        <color theme="1"/>
        <rFont val="Calibri"/>
        <family val="2"/>
        <scheme val="minor"/>
      </rPr>
      <t xml:space="preserve">
Aun no se programa la socialización al equipo de la OPC porque se continuan actualizando estos documentos y se prevé socializarlos antes del 30 de septiembre.
</t>
    </r>
    <r>
      <rPr>
        <b/>
        <sz val="11"/>
        <color theme="1"/>
        <rFont val="Calibri"/>
        <family val="2"/>
        <scheme val="minor"/>
      </rPr>
      <t>Evidencia:</t>
    </r>
    <r>
      <rPr>
        <sz val="11"/>
        <color theme="1"/>
        <rFont val="Calibri"/>
        <family val="2"/>
        <scheme val="minor"/>
      </rPr>
      <t xml:space="preserve"> N/A</t>
    </r>
  </si>
  <si>
    <t>Realizar capacitaciones a las dependencias de la entidad, con el fin de mantener actualizada la información y su conservación</t>
  </si>
  <si>
    <t>permanenete</t>
  </si>
  <si>
    <t>Coordinadora del Grupo de Gestión Documental</t>
  </si>
  <si>
    <t>Eviencia de asistencia a capacitación</t>
  </si>
  <si>
    <t xml:space="preserve">El Riesgo no se ha materializado debdio aque el control ha sido efectivo, con el seguimiento realizado  
Se brindaron asistencias técnicas durante el segundo  cuatrimestre a fin de fortalecer los criterios respecto al tratamiento de la información documental </t>
  </si>
  <si>
    <t>No se materializó el riesgo</t>
  </si>
  <si>
    <t xml:space="preserve">Se ha venido implementado los planes de conservación preventiva por parte del GGD.
Para este cuatrimestre se han realizado capacitaciones en materia de conservación documental
Se realiza la inspección de instalaciones físicas y sistemas de almacenamiento del archivo central
Se realiza seguimiento de las actividades de limpieza de áreas y documentos
Se adelanta la revisión correspondiente a la solicitud del servicio de calibración de los dataloggers </t>
  </si>
  <si>
    <t xml:space="preserve">El Riesgo no se ha materializado debdio aque el control ha sifo efectivo </t>
  </si>
  <si>
    <t>En el segundo cuatrimestre se modifica el control 1 en cuanto la descripción del control, según observaciones de la auditoria interna de calidad. Complementando la información relacionada con la ejecución del control. Se ejecuta el 100% del plan anual de auditoria, con el seguimiento interno realizado desde la jefatura de la oficina de control interno, previa presentación de lineamientos para tal fin. Los informes se encuentran publicados en la página web de la entidad. https://www.minjusticia.gov.co/ministerio-co/planeacion-gestion-control/auditor%C3%ADas-internas/auditorias-internas</t>
  </si>
  <si>
    <t>En el segundo cuatrimestre, se modifica la descripción del control para mayor comprensión, teniendo en cuenta la observación de la auditoria interna de calidad. Los controles han sido efectivos, en tanto, la planeación de las auditorias se han llevado a cabo al 100% según el Plan Anual de Auditorias, la cual se encuentra disponible en la página web de la entidad. https://www.minjusticia.gov.co/ministerio/Paginas/Informes-Auditorias-Control-Interno.aspx</t>
  </si>
  <si>
    <t>El Auditor Líder de la OCI cada vez que haya un proceso de auditoría (según aplique) informa mediante memorando el plan de auditoria y establece la fecha de reunión de apertura con el fin de aclarar inquietudes frente al alcance de la auditoria, el cronograma y entrega de la información. El auditado al responder la carta de representación, pone de presente que la información que habrá de entregar es confiable, oportuna y completa. En caso de que el auditado hago caso omiso a la entrega del documento a través de correo electronico o el EPX,  se le reitera la solicitud en los términos establecidos en el memorando de apertura. Evidencia: Carta representación, acta de reunión y/o grabación. memorando de apertura de la auditoria</t>
  </si>
  <si>
    <t>El jefe de la OCI presenta anualmente al CICCI - para su aprobación- el documento metodológico que contiene los lineamientos para el establecimiento del Plan Anual de Auditoría. Incorporando componentes como: introducción, objetivo, alcance, fuentes de criterios, conocimiento de la entidad, alienación con la planeación estratégica, determinación del universo de auditoría y del plan de auditoria, en caso de que algunos de los elementos que constituyen el documento metologico falte o se tenga que actualizar este será presentado nuevamente al CICCI para la aprobación del ajuste al plan anual Evidencia: Acta de aprobación del plan anual.</t>
  </si>
  <si>
    <t xml:space="preserve">El grupo de profesionales junto con el jefe de la Oficina realizan reuniones mensuales de seguimiento a la gestión de acuerdo con la programación anual, con el fin de revisar el avance de actividades a cargo de cada profesional y establecer tiempos para su cumplimiento. En caso que se presente desviación de los lineamientos impartidos, el Jefe de la OCI en revisión del informe preliminar adelantará las observaciones y correcciones del caso al líder auditor para que realice los cambios o ajustes requeridos. Así mismo, puede realizar control sobre la auditoria durante el proceso del mismo. . Evidencia: Acta de reunión, matriz de seguimiento, correo electrónico. </t>
  </si>
  <si>
    <t>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t>
  </si>
  <si>
    <t>Pérdida de credibilidad institucional al resolver la solicitud  del beneficio jurídico de indulto por fuera de la oportunidad  establecida en la Normativa vigente, por la demora en la gestion realizada por los actores internos involucrados en el trámite</t>
  </si>
  <si>
    <t>Demora en el proceso de analisis de la situación juridica del solicitante y revisión del acto administrativo</t>
  </si>
  <si>
    <t xml:space="preserve">Errores de forma y/o de fondo en el acto administrativo que resuelve la solicitud de indulto </t>
  </si>
  <si>
    <t xml:space="preserve">El profesional designado para el tramité de la Dirección de Justicia Transicional, semanalmente luego de haber remitido para revisón el acto administrativo, a fin de evitar demoras que puedan entorpecer el tramite, realizará un seguimiento al proceso de revisión, para lo cual solicitará información al responsable del mismo sobre el avance del proceso. Si en el momento de realizar el seguimiento, se evidencia una demora superior a 5 días hábiles por parte del responsable de la revisión, se notificará de esta situación al líder de la Dirección de Justicia Transicional, el cual enviara un memorando reiterando la solicitud de revisión. Evidencia: Hoja de ruta del tramité
Estado de la solicitud en el sistema de Información Interinstitucional de Justicia Transicional 
Memorandos remitidos a las areas involucradas en el proceso de revisión
Reiteración de la solicitud en los casos a los que haya lugar
</t>
  </si>
  <si>
    <t>El Ministro,  Viceministro y/o Dirección Jurídica, cada vez que se genere un proyecto de resolución por la cual se resuelve  la solicitud de indulto, procederá a relizar la revision de legalidad y de forma del acto administrativo, para evitar que sean  expedidos sin el cumplimiento de los requisitos. Ningún proyecto de acto administrativo se remitirá sin la firma del Ministro.  Como evidencia quedan los correos electrónicos de revisión entre dependencias y el oficio remisorio a presidencia.</t>
  </si>
  <si>
    <t>moderado</t>
  </si>
  <si>
    <t xml:space="preserve">
Realizar una jornada de socialización sobre la aplicación del tramite de indulto a los difrentes involucrados en el proceso
</t>
  </si>
  <si>
    <t>Una vez al año y/o cuando se actualice el procedimiento</t>
  </si>
  <si>
    <t xml:space="preserve">Disponer los documentos soporte en los medios digitales utilizados por la entidad, para facilitar la revisión y la trazabilidad del proyecto de resolución, para cada una de las dependencias que intervienen en el proceso  </t>
  </si>
  <si>
    <t>Se realiza cada vez que se tenga un expediene conformado</t>
  </si>
  <si>
    <t>En virtud del procedimiento definido en el "P-CR-16", se definen claramente qué documentos se requieren para conformar el expediente de indulto, y en ese sentido se han solicitado los documentos relativos a cada solicitud de indulto a las entidades correspondientes.
Frente al peticionario del radicado MJD-EXT21-0055182, para la solicitud MJD-EXT22-0000776, se solicitó una reiteración de su voluntad de participar en este procedimiento, dada la temporalidad desde su petición inicial. A la cual brindó respuesta afirmativa mediante MJD-EXT23-0033216.
Por otra parte, frente a la conformación de los expedientes de las tres (3) solicitudes de indulto, se han presentado por parte de los peticionarios los documentos pertinentes que debe remitir cada uno, que son: 
1. Solicitud por parte del interesado o un apoderado 
2. La manifestación expresa y directa de la voluntad de reintegración a la vida civil
3. Sentencia condenatoria ejecutoriada (en caso de tenerla) o indicar dónde reposa dicha pieza procesal.
En este sentido, se han remitido al Viceministro de PC y JR, tres expedientes completos, mediante MJD-MEM23-0004811, MJD-MEM23-0004588 y MJD-MEM23-0004808. En cada expediente se encuentran todos los oficios, correos e insistencias remitidas tanto a las entidades como a los peticionarios.
Conforme a las recomendciones realizadas por la Oficina de Control Interno, se realizó una mesa de trabajo con la OAP para incorporar las recomendaciones planteadas en el Seguimiento 1, de la cual se obtuvieron los siguientes ajustes:
1. Objetivo del proceso. Se incluye en la columna C, el objetivo del proceso de Gestión contra la Criminalidad y la Reincidencia.
2. Riesgo. Se hace una precisión desde el alcance del procedimiento y se delimita a las acciones propias del Ministerio. El enfoque que se planteaba desde el riesgo anterior, incluia acciones que no dependian directamente de la gestión de la Dirección. Es así que ajustados al trámite que propone el procedimiento, se establece un riesgo más acertivo conforme a las competencias y responsabilidades de la Dirección, donde se identifican las acciones al interior del Ministerio que puedan afectar el trámite de cualquier solicitud de indulto.
3. Las causas. Confome al ajuste de riesgo, se replantean las causas que puedan generar la ocurrencia de este, enmarcadas unicamente en las acciones que dentro del Ministerio puedan afectar el curso normal del procedimiento, manteniendo sin embargo la evaluación del riesgo inherente frente a su probailidad, impacto y evaluación.
4. Los controles del riesgo. Se hace precisión en el control ya existente referido a las demoras de analisis y revisión y se incluye uno nuevo que hace referencia a la revisión de legalidad y forma. Se plantean ambos controles de tipo detectivo.
5. Acciones de control. Se agregan dos acciones de fortalecimiento de los controles ya establecidos, los cuales coadyuvarán a la mitigación de la materialización del riesgo, reduciendo así su evaluación de impacto a Moderado.
Por lo que, al momento, no se ha materializado el riesgo.</t>
  </si>
  <si>
    <t>No se ha materializado el riesgos. 
Se cumple con la documentación solicitada en la lista de chequeo por modalidad de contratación y se elaboró una guia para la publicación de los documentos en el Secop en cumplimiento de la lista de chequeo. Evidencia Guía y base de datos con los link de los procesos publicados enSecop II..</t>
  </si>
  <si>
    <t>No se ha materializado el riesgos
El GGC mediante correo electrónico solicita a la dependencia solicitante del proceso de contratación que remita la documentacion faltante previo al inicio del tramite de la contratación. Evidencia  correos electrónicos</t>
  </si>
  <si>
    <t>No se ha materializado el riesgos
El GGC para este reporte indica que no se realizaron devolucion mediante memorandos de los procesos a las dependencias ya que se trabaja de manera conjunta en la elaboración de la ficha técnica, el estudio del sector y el estudio previo antes de radicar el proceso. Evidencia correo y base de datos de seguimiento a procesos.</t>
  </si>
  <si>
    <t>No se ha materializado el riesgo
Se solicito ajuste en la evaluación para este reporte. Las evaluaciones estan publicadas en el Secop II.  Evidencia bases link y Link Secop II https://community.secop.gov.co/Public/Tendering/ContractNoticeManagement/Index?currentLanguage=es-CO&amp;Page=login&amp;Country=CO&amp;SkinName=CCE y correos.</t>
  </si>
  <si>
    <t>No se ha materializado el riesgo. Se continua con la respectiva aplicación de los controles establecidos para el proceso, efectuando el adecuado registro y radicación de cuentas en la planilla - control F-GF-24-01, identificando la trazabilidad de cada una de las cuentas radicadas ante el GGFC - Central de Cuentas, así como las devoluciones realizadas por incumplimento a los lineamientos establecidos, producto de la revisión de cada una de las cuentas; por lo anterior, para el 2do. cuatrimestre 2023, no se evidencia la materialización de este riesgo. Se adjuntan las evidencias correspondientes.
*Con ocasión a la actualización de los procedimientos establecidos para el Grupo de Gestion Financiera y Contable - GGFC, se realizará la reformulación de los riesgos; para lo cual se establecerán mesas de trabajo conjuntas con la Oficina de Planeación.</t>
  </si>
  <si>
    <t>NO se ha materializado el riesgo.
Se continua con la respectiva aplicación de los controles establecidos para el proceso, enviando las respectivas solicitudes de información a las dependencias generadoras de la información contable, con el fin de poder elaborar y presentar los EEFF del MJD; por lo anterior, para el 2do. cuatrimestre 2023, no se evidencia la materialización de este riesgo. Se adjuntan las evidencias correspondientes.
*Con ocasión a la actualización de los procedimientos establecidos para el Grupo de Gestion Financiera y Contable - GGFC, se realizará la reformulación de los riesgos; para lo cual se establecerán mesas de trabajo conjuntas con la Oficina de Planeación.</t>
  </si>
  <si>
    <t>Durante el 2do cuatrimestre de 2023 no se materializó el riesgo debido a que  los controles han sido efectivos. Se aplicaron los controles de enviar mensualmente a las dependencias ejecutoras de recursos memorando o correo electrónico sobre la ejecución vigente y el estado de las reservas presupuestalees con el fin de mejorar la ejecución presupuestal. Se adjuntan las evidencias. Es preciso indicar que se estan generando unos controles adicionales desde la Secretaria General con Comites mensuales de seguimiento a la Ejecución presupuestal de la vigencia y de la reserva con el fin de ejecutar eficiente y eficazmente los recursos de manera tal que se ejecuten los recursos al 100% dentro de la vgencia fiscal y que las reservas sean canceladas dentro de la vigencia.
*Con ocasión a la actualización de los procedimientos establecidos para el Grupo de Gestion Financiera y Contable - GGFC, se realizará la reformulación de los riesgos; para lo cual se establecerán mesas de trabajo conjuntas con la Oficina de Planeación.</t>
  </si>
  <si>
    <t>Sansiones al Ministerio de Justicia y del Derecho por falta de oportunidad para contestar y proyectar, en los términos legales, los documentos asociados a la revisión y emisión de Actos Administrativos, Consultas ante el Consejo de Estado y Conceptos, derivados de las fallas en la disponibilidad de la información suministrada  y de la supervisión de los términos</t>
  </si>
  <si>
    <t>Fallas en la superveción de terminos  por la dificultad para la  recopilación d la información y documentación necesaria para proyectar las respuestas a los requerimientos según sus requisitos de tramite.</t>
  </si>
  <si>
    <t>Retrasos en la emision de actos administrativos y reclamaciones de los ususrios.</t>
  </si>
  <si>
    <t>No se han materilizado los riesgos derivados de la falta de oportunidad en la emisión de actos  administrativos, consultas y conceptos  ,, de hecho para evoitar esenarios de riesgo el Director Juridico expidio lineamiento internos preventivos a fin de reducir  los riesgos de vencimiento de términos, mediante MJD-MEM23-0000866-DJU,. Al respecto, es importante mencionar que para el periodo no presentó vencimiento de termitos en estos trámites. En este sentido los controles incluidos en los cuadros de seguimiento  han sido efectivos.
Se envio correo a los Abogados que tramitan estos temas, para seguir con los controles establecidos</t>
  </si>
  <si>
    <t>Avance cualtativo: Los controles han sido efectivos y este riesgo no se ha materializado, en razón a que se realizaron los seguimientos trimestrales a los convenios o acuerdos de intercambio de información, verificando el cumplimiento de las condiciones pactadas dentro del mismos.
Evidencias: Informes de seguimiento de ejecución de actividades. (Informe INPEC, Ministerio de Defensa Nacional y PGN)</t>
  </si>
  <si>
    <t>Avance cualtativo: Se programó y se realizó la socialización de la nueva versión del procedimiento de reportes de información y de la política de TI, como lineamientos para creación y publicación de tableros de control, previo análisis y calidad de los datos tanto para las áreas misionales como para la subdirección. 
Evidencias: sesión de socialización</t>
  </si>
  <si>
    <t xml:space="preserve">Avance cualtativo: Avance cualitativo: A la fecha no se ha materializado este riesgo, como seguimiento se cuentan con las etapas precontractuales de los siguientes procesos : 
Adquirir Dispositivos de almacenamiento (Cintas) para copias de seguridad de la información del Ministerio de Justicia y del Derecho - MJD - Proceso adjudicado y en ejecución bajo el contrato No 1021 de 2023
Adquirir el servicio y soporte de antivirus para el Ministerio de Justicia y del derecho -  Proceso en ejecución, adjudicado mediante Contrato 1053 de 2023.
Adquirir equipos activos de red y fibra óptica incluyendo servicios de instalación, configuración y puesta en producción   para la sede del Ministerio de Justicia y del Derecho y la sede del archivo central. - Proceso en ejecución, bajo el contrato No 1027 - 2023. El día de hoy 27 de julio se realiza reunión de inicio de contrato con la empresa MCO.
Adquirir los servicios de soporte y garantia del Sistema de Información Digiturno para el Ministerio de Justicia y del derecho - Contrato firmado En Ejecución. Contrato firmado No. 947 de 2023
Adquirir software de copias de seguridad backup para el Ministerio de Justicia y del Derecho - MJD - Proceso en ejecución bajo Orden de compra No 113358
Prestar los  servicios de Soporte y mantenimiento para el sistema ECM – SGDEA ePx instalado en el Ministerio de Justicia y del Derecho - MJD - En ejecución.   No. Contrato. 624 de 2023
Prestar los servicios de implementación de la estrategia de uso y apropiación de las TIC para la promoción y difusión de los tramites servicios y herramientas que ofrecen los sistemas de información y portales del Ministerio de Justicia y del Derecho  MJD como fortalecimiento institucional de la entidad y capacitación y formación en TI para la Dirección de Tecnologías y Gestión de Información en Justicia  DTGIJ - ID Adjudicacion CO1.AWD.1685935
Realizar el mantenimiento con suministro de repuestos para las UPS del Ministerio de Justicia y del Derecho - Contrato No. 743  de 2023 en ejecución
Evidencias: </t>
  </si>
  <si>
    <t>Avance cualtativo: 
Para el segundo cautrimestre no se ha materializado el riesgo, como seguimiento se tiene programado el segundo manteniemito preventivo y levantamiento de hojas de vida para el mes de octubre a traves de  la orden de compra numero OC11656 , se contrato  el mantenimiento para la vigencia 2023 (Mantenimiento preventivo y correctivo ) cubriendo 2 mantenimientos preventivos en el año. 
Evidencias:
1. Se adjunta orden de compra numero OC101656
2. Se adjunta las hojas de vida de los equipos a los que se les realizo el primer mantenimiento prementivo del año.
3. Informes  mensual de la mesa de ayuda, correspondiente al segundo cuatrimestre.</t>
  </si>
  <si>
    <t>Avance cualitativo: A la fecha no se ha materializado el riesgo, para este periodo se generó y cumplió plan de seguridad de la información para el segundo trimestre de 2023 y se generó un nuevo plan para el tercer trimestre.
Se finalizó la actualización del instrumento de autoevaluación del MSPI del MinTIC, con corte a diciembre de 2022 y con corte al mes de junio de 2023.
Evidencias: 
1. Plan de seguridad de la información Trimestre II con avance
2. Plan de seguridad de la información Trimestre III.
3. Instrumento de autoevaluación del MSPI actualizado con corte a diciembre de 2022.
4. Instrumento de autoevaluación del MSPI con corte a Junio de 2023.</t>
  </si>
  <si>
    <t xml:space="preserve">Avance cualtativo: Durante el segundo cuatrimestre se han desarrollado procesos de sensibilización de Gobierno digital , transformación digital, seguridad de la información,  y demas elementos que se requieran para apropiar las herramientas de TI, a fin de fortalecer las capacidades y conocimientos de los funcioarios de TI.
Evidencias
Informe de ejecución 
Estrategia de uso y  apropiación </t>
  </si>
  <si>
    <t>Avance cualitativo: se realizó el envío de tips de seguridad de la información relacionados con las políticas de seguridad de la información y con la divulgación de la última versión del documento de la política, actualizado en diciembre de 2022.
También se desarrolló material base sobre el Sistema de Gestión de Seguridad de la Información y la Política de seguridad, para incluir en la inducción y reinducción de colaboradores de la entidad.
Evidencias:
1. Piezas y tips de seguridad remitidos a través de correo electrónico.
2. Divulgación de política de seguridad de la información por correo electrónico.
3. Material base para incluir en curso de inducción y reinducción MJD.</t>
  </si>
  <si>
    <t>Avance cualitativo: Para el segundo trimestre, se realizó la recopilación de los acuerdos de confidencialidad con los proveedores de tecnología.
Evidencias:
1. Correo remitido por el Director de Tecnologías y Gestión de Información en Justicia, proyectado por la Oficial de Seguridad.
2. Acuerdos de confidencialidad con proveedores Tiqal, MCO Global y Natura Software.</t>
  </si>
  <si>
    <t>El riesgo no se ha materializado y se aplican los controles relacionados con la entregadel puesto de trabajo y el diligenciamiento del formato de entrega, adicionalmente se inició la consolidación del mapa de conocimiento tácito y explícito</t>
  </si>
  <si>
    <t>El Jefe de la Oficina de Control Disciplinario Interno cada vez que suscribe las actuaciones revisa las decisiones tomadas sobre los trámites o procesos de competencia de la Oficina, a partir del conocimiento del mismo, lo establecido en el régimen disciplinario vigente y la reunión con el abogado que lleva el proceso para conocer los detalles y detrminar la pertinencia de la actuación. En caso de errores formales se ajusta la redacción del documento y en caso de inconsistencias en lo sustancial, se procede a subsanar la falla y se labora la nueva decisión. Carpetas compartidas, expdientes fisicos, sistema de gestión disciplinaria Gecodi, SIM y correos electronicos.</t>
  </si>
  <si>
    <t>El Jefe de la Oficina de Control Disciplinario Interno mensualmente hace seguimiento a los expedientes disciplinarios a partir de la realización de reuniones con cada abogado para revisar material y formalmente cada uno de los expedientes disciplinarios activos y dar pautas para la gestión durante el mes siguiente En caso de errores formales se ajusta la redacción del documento y en caso de inconsistencias en lo sustancial, se procede a subsanar la falla y se labora la nueva decisión. Carpetas compartidas, expdientes fisicos, sistema de gestión disciplinaria Gecodi, SIM y correos electronicos.</t>
  </si>
  <si>
    <t>Teniendo en cuenta las acciones ejecutadas a través de los distintos seguimientos realizados al interior de la Oficina de Control Disciplinario Interno, el riesgo en mención no se ha materializado. Es así que, dicho esto, el acompañamiento y efectividad de los controles aplicados, se ajustan a los requerimientos propuestos. De modo que de la revisión de los expedientes y actuaciones procesales que se materializan con las decisiones tomadas en los mismos, se puede observar un manejo adecuado que cumple con los cánones normativos en materia disciplinaria hablandose de asuntos de competencia de la Oficina de Control Disciplinario Interno (archivos, autos de sustanciación (auto de comisión, auto de pruebas, auto que conce recurso, auto inhibitorio), interlocutorios, aperturas de indagación o investigacion previa y otras decisiones), aplicando para la redacción de los mismos el régimen disciplinario vigente, los conocimientos y experticia en la materia. En este sentido, se realizan controles como lo son reuniones, presenciales y/o virtuales (por lo menos una vez al mes) con el abogado que lleva el proceso para conocer los detalles y determinar la pertinencia de la actuación. Los soportes se encuentran en la Carpeta compartida, expedientes, sistema de Información Misional -SIM- de la Oficina de Control Disciplinario Interno (GCDI) y correos electrónicos.</t>
  </si>
  <si>
    <t>Los controles y acciones desplegadas por la Oficina de Control Disciplinario Interno, refleja el compromiso, ajustes y efectividad de las acciones para evitar la materialización de los riesgos. Razones que llevan a indicar que no se ha materializado riesgo alguno. Es así que, a través de la revisión de los expedientes y actuaciones procesales mediante las cuales se toman decisiones para el buen manejo de los procesos, dando estricto cumplimiento con los cánones normativos en materia disciplinaria respecto de los asuntos que son de conocimiento y competencia de la Oficina de Control Disciplinario Interno (archivos, autos de sustanciación (auto de comisión, auto de pruebas, auto que conce recurso, auto inhibitorio), interlocutorios, aperturas de indagación o investigacion previa y otras decisiones). Los soportes se encuentran en la Carpeta compartida, expedientes, sistema de Información Misional -SIM- de la Oficina de Control Disciplinario Interno (GCDI) y correos electrónicos.</t>
  </si>
  <si>
    <t>[Impacto] Afectación negativa de la imagen institucional del Ministerio de Justicia y del Derecho en la Corte Constitucional o el Consejo de Estado [Causa inmediata], por el incumplimiento de los términos procesales establecidos en la ley para presentar las intervenciones en los procesos de control de constitucionalidad y legalidad de competencia del Ministerio, [Causa raíz], debido a la falta de control en la revisión de las notificaciones o publicaciones de esos tribunales.</t>
  </si>
  <si>
    <t>El funcionario designado, luego de fijadas en lista las demandas de la Corte Constitucional o notificadas las del Consejo de Estado, para evitar el incumplimiento de los términos en los procesos en los que se vaya a intervenir, confirma los términos de los procesos. En caso de registrarse información imprecisa en el formato de control, esta se corregirá. Evidencia: Formato de control de vencimientos de términos procesales de Corte Constitucional y Consejo de Estado F-SJ-02-03</t>
  </si>
  <si>
    <t>El abogado designado, cuando se decida no intervenir en un proceso de Corte Constitucional, dentro del término establecido para ello, proyecta el concepto interno y motivado de no intervención para la firma de la Dirección. En caso contrario, se proyecta la intervención. Evidencia: Memorando o intervención al proceso</t>
  </si>
  <si>
    <t>El abogado designado, en cada proceso y para evitar posible incumplimiento en los términos por fallas en los sistemas tecnológicos de apoyo, proyectará la intervención para la firma de la dirección, con antelación suficiente a la fecha del vencimiento del término.  En caso de estar proyectada la intervención y esta no se firme dentro de un término razonable, se procederá a informar al Director por cualquier medio. Evidencia: Intervención proyectada, firmada y enviada.</t>
  </si>
  <si>
    <t xml:space="preserve">El funcionario designado, luego de fijadas en lista las demandas de la Corte Constitucional o notificadas las demandas o actuaciones del Consejo de Estado, para evitar el incumplimiento de los términos en los procesos en los que se vaya a intervenir, confirma los términos de los procesos. En caso de registrarse información imprecisa en el formato de control, esta se corregirá. Evidencia: Formato de control de vencimientos de términos procesales de Corte Constitucional y Consejo de Estado F-SJ-02-03                                                                                                                                                                                                                      </t>
  </si>
  <si>
    <t>[Impacto] Falta de oportunidad en las intervenciones de competencia de la DDDOJ en los procesos de control abstracto de constitucionalidad o de legalidad en que la DDDOJ deba necesariamente intervenir ante la Corte Constitucional o el Consejo de Estado [Causa inmediata], por faltas o fallas en la información sobre el estado de los procesos de competencia de la DDDOJ [Causa raíz], debido a fallas en el seguimiento procesal de los procesos judiciales en que la DDDOJ deba intervenir.</t>
  </si>
  <si>
    <t>El funcionario designado, semanalmente, para evitar fallas en el seguimiento procesal de la Corte Constitucional y el Consejo de Estado, revisa y actualiza la información procesal relevante en los formatos de seguimiento procesal. Cuando al actualizar uno de los formatos de seguimiento se encuentre información relevante que merezca ser actualizada o corregida, la corrección o actualización se incluirá en las siguientes actualizaciones de los formatos. Evidencia: Formatos de seguimiento procesal de la Corte Constitucional y del Consejo de Estado (F-SJ-02-01 y F-SJ-02-02)</t>
  </si>
  <si>
    <r>
      <t xml:space="preserve">El funcionario designado revisa y reporta, semanalmente, las novedades jurisprudenciales del Consejo de Estado en los procesos de nulidad de actos de carácter general, expedidos por el Gobierno, de competencia del Ministerio de Justicia y del Derecho, a medida que estos se publiquen y estén disponibles en la página web del Consejo de Estado. El reporte se envía al director de la DDDOJ, por correo electrónico. El control no se hace durante la vacancia judicial. Evidencia: </t>
    </r>
    <r>
      <rPr>
        <sz val="11"/>
        <rFont val="Abadi"/>
        <family val="2"/>
      </rPr>
      <t xml:space="preserve">Correo electrónico.   </t>
    </r>
    <r>
      <rPr>
        <sz val="11"/>
        <color theme="1"/>
        <rFont val="Abadi"/>
        <family val="2"/>
      </rPr>
      <t xml:space="preserve">                                                                                                                                             </t>
    </r>
  </si>
  <si>
    <t xml:space="preserve">Cuando haya duda sobre la precisión de la información procesal registrada en los formatos de seguimiento procesal de Corte Constitucional y Consejo de Estado, esta se validará directamente con la que esté publicada, de forma digital, en las secretarías de estas corporaciones. </t>
  </si>
  <si>
    <t>[Impacto] Afectación negativa de la imagen  del Sistema Único de Información Normativa -SUIN-Juriscol- ante la ciudadanía [Causa inmediata] por desactualización de la información normativa incorporada en  el sistema [Causa raíz] por incumplimiento de la programación establecida para cargar en el sistema la información normativa obtenida de las fuentes primarias (quienes la producen: Diario Oficial, Corte Constitucional y Consejo de Estado).</t>
  </si>
  <si>
    <t xml:space="preserve">Incumplimiento de la programación de cargue del sistema por parte del funcionario designado . </t>
  </si>
  <si>
    <t>El funcionario designado, mensualmente, a fin de llevar un control de las tareas asignadas y evitar el incumplimiento de la programación de cargue del sistema, hace seguimiento y revisión del avance de la ejecución de la programación de carguer del sistema. Si al momento de hacer el seguimiento se identifica que una normativa no ha sido cargada en el sistema de acuerdo con lo programado, se hace el requerimiento al funcionario o contratista al que se asignó cargarla para que lo haga. Si por alguna razón el funcionario o contratista no puede realizar el cargue se designara a otro que deberá hacerlo en el menor tiempo posible. Evidencia: Formato Control General
Correos electronicos 
Reasignación del cargue de ser necesario</t>
  </si>
  <si>
    <t xml:space="preserve">El funcionario designado, cada vez que se presente un incidente grave de la herramienta tecnológica, con el fin de detectar y corregir las posibles fallas cuado ello sea factible, informará a la DTGIJ  para que esa direccion tome las decisiones e implemente las acciones que considere necesarias. Si al momento de detectar los incidentes estos se puede resolver directemente por parte del equipo de trabajo de la DDDOJ se procederá a remediarlo de forma inmediata y posteriormente se comunicará a la DTGIJ. Evidencia: Registro de incidentes en el sistema de mesa de ayuda ARANDA.
Solución, cuando sea posible, por parte de la DDDOJ.
</t>
  </si>
  <si>
    <t>El funcionario designado, al menos una vez al año, a fin de fortalecer el conocimiento de la guía vigente para el cargue de la información en el Sistema SUIN-JURISCOL por parte del equipo de trabajo asignado para ello, realiza virtual o presencialmente capacitaciones o talleres para el equipo de trabajo. Si al momento de realizar la capacitación o taller virtual o presencial se presenta una inasistencia mayor o igual a la tercera parte de los citados, se deberá realizar un segundo ejercicio para de esta manera poder dar cobertura a la totalidad del personal invitado. Si aún despues de la segunda citación se sigue presentando inasistencia, se enviará a través de correo la guía para conocimiento de los no asistentes. Evidencia: Asistencia a la capacitación o taller 
Presentación o grabación de la capacitación o taller virtual
Programación o citación a la capacitación
Envío de la guía a los no asistentes cuando así sea necesario</t>
  </si>
  <si>
    <t xml:space="preserve">El funcionario designado reasigna a otra persona del equipo de trabajo el cargue de la información normativa en el menor tiempo posible cuando la persona a la que que inicialmente se asignó el cargue no lo hizo. </t>
  </si>
  <si>
    <t>Cada vez que se presente un incumplimiento persistente en el cargue de alguna información normativa programada</t>
  </si>
  <si>
    <t xml:space="preserve">[Impacto] Depuración (derogación expresa) de disposiciones formalmente vigentes pero que no deberían ser derogadas porque que ello podría causar un daño antijurídico [Causa inmediata] porque la entidad que desarrolla un proceso de depuración normativa aplica incorrectamente los criterios de depuración normativa [Causa raíz] porque la redacción de los criterios de depuración normativa establecidos por la DDDOJ no es jurídicamente clara. </t>
  </si>
  <si>
    <r>
      <t xml:space="preserve">El riesgo no se ha materializado. Se elabora informe trimestral de seguimiento de proyectos de inversión y se publica en página web link: https://www.minjusticia.gov.co/ministerio-co/planeacion-gestion-control/programas-y-proyectos-de-inversion, se realiza seguimiento a metas de proyectos de inversión de adscritas y dependencias de MJD en matriz dispuesta para tal fin.
</t>
    </r>
    <r>
      <rPr>
        <b/>
        <sz val="11"/>
        <color theme="1"/>
        <rFont val="Abadi"/>
        <family val="2"/>
      </rPr>
      <t>Evidencias:</t>
    </r>
    <r>
      <rPr>
        <sz val="11"/>
        <color theme="1"/>
        <rFont val="Abadi"/>
        <family val="2"/>
      </rPr>
      <t xml:space="preserve">
1. Informe-seguimiento-PIIP-Junio-2023.pdf
2. Matriz segumiento metas proyectos de inversión.xlsx</t>
    </r>
  </si>
  <si>
    <r>
      <t xml:space="preserve">El riesgo no se ha materializado. Se remitieron informes de seguimiento así: En mayo con corte a 30 de abril, en junio con corte a 31 de mayo, en julio con corte a 30 de junio y en agosto con corte a 31 de julio.
Adicionalmente se realizaron reuniones de seguimiento mensual.
</t>
    </r>
    <r>
      <rPr>
        <b/>
        <sz val="11"/>
        <color theme="1"/>
        <rFont val="Abadi"/>
        <family val="2"/>
      </rPr>
      <t>Evidencias:</t>
    </r>
    <r>
      <rPr>
        <sz val="11"/>
        <color theme="1"/>
        <rFont val="Abadi"/>
        <family val="2"/>
      </rPr>
      <t xml:space="preserve">
1. Carpeta informes presupuestales de seguimiento
2. Carpeta informes presupuestales de seguimiento_rezago
3. Carpeta presentaciones de reuniones de seguimiento
4. 4 correos del Jefe de la OAP con el reporte de seguimiento</t>
    </r>
  </si>
  <si>
    <t>Afectaciones a la gestión y al cumplimiento  de las metas institucionals por Incumplimiento de las metas institucionales por la inadecuada formulación de los planes y proyectos de inversión al no tener claras las metas establecidas.</t>
  </si>
  <si>
    <t>El grupo de gestión de proyectos y presupuesto de la OAP realizará fortalecimiento institucional asistiendo a capactiaciones realizadas por el DNP y replicando estos conocimientos realizando capacitaciones con las entidades adscritas y dependencias que formulen proyectos de inversión con el fin de mantenerlos informados y acutalizados y así reducir el riesgo en mención.
Evidencia: Participación capacitaciones DNP, plan capacitaciones internas y su ejecución con dependencias que formulen proyectos de inversión.</t>
  </si>
  <si>
    <t>El riesgo no se ha materializado. El DNP genera cronograma de capacitaciones, ha realizado varios módulos de capacitaciones donde nos invitan como sector (Ministerio y entidades adscritas). La OAP del ministerio, reenvía estas invitaciones y realiza recordatorios a los formuladores de proyectos que asistan a la misma.
El 9 de mayo, se realizó la charla Seguimiento a la Focalización. Trabajo, Comercio, Educación, Interior, Justicia, Salud y Ambiente.
La OAP envió a los formuladores la invitación con el link de la capacitación para que participaran, e igualmente participaron varios integrantes de la OAP.
Evidencias:
1. programación capacitaciones DNP.pdf
2. Soporte capacitación DNP_II cuatrimestre 2023.docx
3. Soporte capacitaciones internas MJD.pdf</t>
  </si>
  <si>
    <t>1.- RIESGO: [Impacto] Afectación negativa de la imagen institucional del Ministerio de Justicia y del Derecho en la Corte Constitucional o el Consejo de Estado [Causa inmediata], por el incumplimiento de los términos procesales establecidos en la ley para presentar las intervenciones en los procesos de control de constitucionalidad y legalidad de competencia del Ministerio, [Causa raíz], debido a la falta de control en la revisión de las notificaciones o publicaciones de esos tribunales.
Durante el segundo cuatrimestre del 2023, los controles han sido efectivos:
1.1.- Se han aplicado, sin fallas, los controles de supervisión de los términos en los procesos de competencia del Ministerio de Justicia y del Derecho en que se debe intervenir, por ser parte el Ministerio (Consejo de Estado), o, en que ha sido comunicado para intervenir (Corte Constitucional). Esto se debe a que la funcionaria designada ha confirmado los términos de los procesos, luego de fijadas en lista las demandas de la Corte Constitucional o notificadas las del Consejo de Estado,  para evitar el incumplimiento de los términos en los procesos en los que se va a intervenir. 
Evidencias:
(Se anexa vínculo al  control del cuatrimestre) 
https://minjusticiagovco-my.sharepoint.com/:f:/r/personal/dirordenamiento_juridico_minjusticia_gov_co/Documents/P_SeguridadJuridica/DefensaOrdJuridico/Defensa%202023/Vencimientos%202023?csf=1&amp;web=1&amp;e=ZEDzfm
1.2.- Se han aplicado, sin fallas, los controles para elaborar oportunamente el concepto de no intervención de un proceso, cuando así se ha determinado por la Dirección, porque el abogado designado ha proyectado el concepto interno y motivado de no intervención para la firma de la Dirección, si se ha decidido no intervenir en un proceso de Corte Constitucional, dentro del término establecido para ello.
Evidencias:
(Se anexa vínculo a memorandos-conceptos internos de no intervención)
https://minjusticiagovco-my.sharepoint.com/:f:/r/personal/dirordenamiento_juridico_minjusticia_gov_co/Documents/P_SeguridadJuridica/DefensaOrdJuridico/Defensa%202023/Conceptos%20de%20no%20intervenci%C3%B3n%202023?csf=1&amp;web=1&amp;e=G8xuAA
1.3.- En los procesos de competencia del Ministerio de Justicia y del Derecho en que se debe intervenir por ser parte el Ministerio (Consejo de Estado), o, en que ha sido comunicado para intervenir (Corte Constitucional), no se han presentado fallas en los sistemas tecnológicos de apoyo necesarios para el desarrollo de las actividades y el abogado designado en cada proceso ha proyectado la intervención para la firma de la dirección, con antelación suficiente a la fecha de vencimiento de términos. 
Evidencias: 
(Se anexa vínculo a borradores de intervención)
https://minjusticiagovco-my.sharepoint.com/:f:/r/personal/dirordenamiento_juridico_minjusticia_gov_co/Documents/P_SeguridadJuridica/DefensaOrdJuridico/Defensa%202023/Vencimientos%202023?csf=1&amp;web=1&amp;e=tAjF6j
1.4.- No se han presentado situaciones de olvido por parte de la funcionaria designada, porque, luego de fijadas en lista las demandas de la Corte Constitucional o notificadas las demandas o actuaciones del Consejo de Estado, la funcionaria designada ha confirmado los términos de los procesos, para evitar el incumplimiento de estos en los procesos en los que se va a intervenir.
Evidencia: 
Formato de control de vencimientos de términos procesales de Corte Constitucional y Consejo de Estado F-SJ-02-03 
https://minjusticiagovco-my.sharepoint.com/:f:/r/personal/dirordenamiento_juridico_minjusticia_gov_co/Documents/P_SeguridadJuridica/DefensaOrdJuridico/Defensa%202023/Vencimientos%202023?csf=1&amp;web=1&amp;e=tAjF6j</t>
  </si>
  <si>
    <t xml:space="preserve">2.- RIESGO: [Impacto] Falta de oportunidad en las intervenciones de competencia de la DDDOJ en los procesos de control abstracto de constitucionalidad o de legalidad en que la DDDOJ deba necesariamente intervenir ante la Corte Constitucional o el Consejo de Estado [Causa inmediata], por faltas o fallas en la información sobre el estado de los procesos de competencia de la DDDOJ [Causa raíz], debido a fallas en el seguimiento procesal de los procesos judiciales en que la DDDOJ deba intervenir.
Durante el segundo cuatrimestre del 2023, los controles han sido efectivos:
2.1.- El seguimiento procesal se ha hecho de forma oportuna, porque los funcionarios designados actualizan los formatos de seguimiento procesal de la Corte Constitucional y del Consejo de Estado, excepto durante la vacancia judicial. 
Evidencia: 
(Se anexa vínculo a Formatos de seguimiento procesal de la Corte Constitucional y del Consejo de Estado (F-SJ-02-01 y F-SJ-02-02))
CORTE:https://minjusticiagovco-my.sharepoint.com/:f:/r/personal/dirordenamiento_juridico_minjusticia_gov_co/Documents/P_SeguridadJuridica/DefensaOrdJuridico/Defensa%202023/Cuadros%20procesos%20Corte%202023?csf=1&amp;web=1&amp;e=x7xzXR
CONSEJO:https://minjusticiagovco-my.sharepoint.com/:f:/r/personal/dirordenamiento_juridico_minjusticia_gov_co/Documents/P_SeguridadJuridica/DefensaOrdJuridico/Defensa%202023/Cuadros%20procesos%20Consejo%202023?csf=1&amp;web=1&amp;e=RtGpH4
2.2.- El seguimiento procesal se ha hecho de forma oportuna, porque los funcionarios designados actualizan semanalmente los formatos de seguimiento procesal de la Corte Constitucional y el Consejo de Estado, excepto durante la vacancia judicial. 
Evidencia:
(Se anexa vínculo a Formatos de seguimiento procesal de la Corte Constitucional y del Consejo de Estado (F-SJ-02-01 y F-SJ-02-02))
CORTE:https://minjusticiagovco-my.sharepoint.com/:f:/r/personal/dirordenamiento_juridico_minjusticia_gov_co/Documents/P_SeguridadJuridica/DefensaOrdJuridico/Defensa%202023/Cuadros%20procesos%20Corte%202023?csf=1&amp;web=1&amp;e=ZI2ZP4
CONSEJO:https://minjusticiagovco-my.sharepoint.com/:f:/r/personal/dirordenamiento_juridico_minjusticia_gov_co/Documents/P_SeguridadJuridica/DefensaOrdJuridico/Defensa%202023/Cuadros%20procesos%20Consejo%202023?csf=1&amp;web=1&amp;e=pSmxdC
2.3.- La funcionaria designada ha revisado y reportado semanalmente las novedades jurisprudenciales del Consejo de Estado en los procesos de nulidad de actos de carácter general expedidos por el Gobierno, de competencia del Ministerio de Justicia y del Derecho, a medida que estos se publican en la página web del Consejo. El reporte se ha enviado al director de la DDDOJ, por correo electrónico. El control no se hace durante la vacancia judicial. 
Evidencia:
(Se anexa vínculo a correo electrónico con reporte de novedades) https://minjusticiagovco-my.sharepoint.com/:f:/r/personal/dirordenamiento_juridico_minjusticia_gov_co/Documents/P_SeguridadJuridica/DefensaOrdJuridico/Defensa%202023/Novedades%20jurisprudenciales%20CE%202023?csf=1&amp;web=1&amp;e=WFos33         </t>
  </si>
  <si>
    <t>3.- RIESGO:  [Impacto] Afectación negativa de la imagen  del Sistema Único de Información Normativa -SUIN-Juriscol- ante la ciudadanía [Causa inmediata] por desactualización de la información normativa incorporada en  el sistema [Causa raíz] por incumplimiento de la programación establecida para cargar en el sistema la información normativa obtenida de las fuentes primarias (esto es, quienes la producen: Diario Oficial, Corte Constitucional y Consejo de Estado).
Durante el segundo cuatrimestre de 2023 los controles han sido efectivos:
3.1.- Se ha cumplido el cargue programado por parte de las personas asignadas para ello, porque el funcionario designado ha hecho seguimiento y control mensual a la programación y al avance de su ejecución para evitar incumplimientos. Cuando al hacer el seguimiento se ha identificado que una norma programada para cargue en el sistema no ha sido cargada, se ha hecho el respectivo requerimiento a la persona asignada para realizar el cargue. 
Evidencia: 
Formato Control General - Correos electrónicos
CONTROL GENERAL: https://minjusticiagovco-my.sharepoint.com/:f:/r/personal/dirordenamiento_juridico_minjusticia_gov_co/Documents/P_SeguridadJuridica/Divulgacion/EvidenciasControlRiesgosGestionSUIN/CuadroControlSUIN?csf=1&amp;web=1&amp;e=WjZk7e 
CORREOS ELECTRÓNICOS: https://minjusticiagovco-my.sharepoint.com/:f:/r/personal/dirordenamiento_juridico_minjusticia_gov_co/Documents/P_SeguridadJuridica/Divulgacion/EvidenciasControlRiesgosGestionSUIN/Correos?csf=1&amp;web=1&amp;e=cobkSN 
3.2.- No se han presentado fallas en la herramienta tecnológica que afecten el correcto funcionamiento del sistema
Evidencia: 
No aplica por ausencia de fallas: (Registro de incidentes en el sistema de mesa de ayuda ARANDA o solución de ser posible del mismo por parte de la DDDOJ)
3.3.- En el segundo cuatrimestre de 2023 se realizó la capacitación del equipo de trabajo. 
Evidencia: 
VIDEOS CAPACITACIÓN:
https://minjusticiagovco-my.sharepoint.com/:v:/r/personal/ricardo_zambrano_minjusticia_gov_co/Documents/Grabaciones/Indicaciones%20Carga%20y%20Enlaces%20C%C3%ADclope-20230804_084508-Grabaci%C3%B3n%20de%20la%20reuni%C3%B3n.mp4?csf=1&amp;web=1&amp;e=6NsEwH&amp;nav=eyJyZWZlcnJhbEluZm8iOnsicmVmZXJyYWxBcHAiOiJTdHJlYW1XZWJBcHAiLCJyZWZlcnJhbFZpZXciOiJTaGFyZURpYWxvZyIsInJlZmVycmFsQXBwUGxhdGZvcm0iOiJXZWIiLCJyZWZlcnJhbE1vZGUiOiJ2aWV3In19
https://minjusticiagovco-my.sharepoint.com/:v:/r/personal/dirordenamiento_juridico_minjusticia_gov_co/Documents/P_SeguridadJuridica/Divulgacion/CAPACITACIONES%20SUIN%20JURISCOL/Indicaciones%20Carga%20y%20Enlaces%20C%C3%ADclope-20230804_084508-Grabaci%C3%B3n%20de%20la%20reuni%C3%B3n.mp4?csf=1&amp;web=1&amp;nav=eyJyZWZlcnJhbEluZm8iOnsicmVmZXJyYWxBcHAiOiJPbmVEcml2ZUZvckJ1c2luZXNzIiwicmVmZXJyYWxBcHBQbGF0Zm9ybSI6IldlYiIsInJlZmVycmFsTW9kZSI6InZpZXciLCJyZWZlcnJhbFZpZXciOiJNeUZpbGVzTGlua0RpcmVjdCJ9fQ&amp;e=7rCfWt</t>
  </si>
  <si>
    <t xml:space="preserve">4.- RIESGO:[Impacto] Depuración (derogación expresa) de disposiciones formalmente vigentes pero que no deberían ser derogadas porque que ello podría causar un daño antijurídico [Causa inmediata] porque la entidad que desarrolla un proceso de depuración normativa aplica incorrectamente los criterios de depuración normativa [Causa raíz] porque la redacción de los criterios de depuración normativa establecidos por la DDDOJ no es jurídicamente clara. 
Durante el segundo cuatrimestre de 2023 el control ha sido efectivo:
4.1.- El equipo de trabajo del grupo de calidad normativa, al redactar las nuevas versiones 2023 de los documentos de metodología de depuración normativa, revisó que los criterios de depuración normativa utilizados sean jurídicamente claros.
Evidencia: documento con redacción corregido - correo electrónico
https://minjusticiagovco-my.sharepoint.com/:f:/r/personal/dirordenamiento_juridico_minjusticia_gov_co/Documents/P_SeguridadJuridica/DepuracionNormativa/Evidencia%20control%20riesgos%20gesti%C3%B3n%20Depuraci%C3%B3n?csf=1&amp;web=1&amp;e=pIbvuL  </t>
  </si>
  <si>
    <t>No se materializo el riesgo Durante el segundo cuatrimestre, en tanto a que se llevo a cabo el seguimiento del 2do trimestre del PEI-PAI 2023 y se recibieron y tramitaron las modificaciones de conformidad al procedimiento ante el Comité Institucional de Gestión y Desempeño. Evidencia: Acta de CIGD del 26 de Julio de 2023</t>
  </si>
  <si>
    <t>No se materializo el riesgo para lo cual la Coordinación del Grupo de Actuaciones Administrativas de la Dirección Jurídica realizo impulso procesal a los procesos de Cobro coactivo,  realizando informe Jurídico de proceso y validación de guía de cobro coactivo  a través de memorando MJD-MEM23-0004835-GAA-10400 del 28 de julio de 2023; indicando  que de conformidad con las disposiciones del numeral 15 del artículo 9 de la Resolución 685 de 2017 , dentro de los procesos de cobro coactivo números 20150003, 2016004, 20170002, 20180006,20210002,20220002 y 20220004 se ha realizado todas la gestiones tendientes a su impulso y subsanación , en este sentido desde el año 2020 los funcionarios quienes ha estado a cargo de la Coordinación del Grupo de Actuaciones Administrativas, han venido trabajando arduamente por subsanar todos los proceso de cobro coactivo; por esta razón, los expedientes presentan un mayor índice de impulso procesal, a partir del segundo semestre del 2020, lo cual ha permitido obtener excelentes resultados frente al recaudo de: dos mil cinco millones seiscientos veintitrés mil trescientos cuarenta y cuatro pesos con noventa centavos ($2.005.623,344, 90), y la terminación de catorce (14) procesos de cobro.</t>
  </si>
  <si>
    <t>No se materializo el riesgo en este sentido se  verifica en Plataforma Ekogui el estado de procesos en el que se logra evidenciar la paridad de informacion registrada, haciendo enfasis en las calificaciones de los riesgos procesales a corte 31 de agosto de 2023</t>
  </si>
  <si>
    <t>No se ha materializado el riesgo y los controles han sido efectivos. Para este período el GED reviso  339 nuevas actuaciones procesales, en los cuales se determinó con base en las directrices de la guia  de Intervención intervenir en  41 nuevos procesos</t>
  </si>
  <si>
    <t>Afectación economica y deterioro a la imagen institucional del Ministerio de Justicia y del Derecho por errores en el proceso de expedición de licencia de cannabis con fines médicos y científicos, al otorgar las licencias sin el cumpimiento de requisitos exigidos en las normas.</t>
  </si>
  <si>
    <t xml:space="preserve">Los funcionarios y/o contratistas designados por la Subdirección de Control y Fiscalización de Sustancias Químicas y Estupefacientes- Grupo Control de Cannabis- cada vez que se presente una modificación, actualización normativa conforme a la actualización procedimental aplicables a la Subdirección en materia de licenciamiento y/o de la plataforma MICC, a fin de minimizar la posibilidad de errores durante el proceso del trámite de otorgamiento de licencias de cannabis (psico, no psico y semillas) fortalecerá el conocimiento a través de la programación de capacitaciones dirigidas a todo el personal del grupo de Control de Cannabis con el objetivo de reducir los errores en la revisión de los tramites y de mantener el equipo actualizado frente a los cambios normativos. 
Evidencia: Material actualizado  (Micrositio)
Actas, invitaciones, material para capacitaciones internas y externas. 
</t>
  </si>
  <si>
    <t xml:space="preserve">El abogado a cargo del trámite proyecta  el acto administrativo y lo carga en la plataforma MICC, lo debe remitir al abogado par asignado quien será el encargado de verificar el cumplimiento de los requisitos generales y especificos del trámite, contemplados en la normatividad vigente y  a la vez, corrobora que la información que reposa en el acto administrativo este de manera correcta. En caso de que el revisor par observe alguna inconsistencia devuelve el expediente al abogado inicial junto con las observaciones pertinentes. Una vez, el abogado inicial realiza los ajustes señalados (si se requiere) se obtiene el visto bueno por parte del abogado par.
Seguidamente, el abogado cargará al MICC el acto administrativo revisado y lo remite al abogado revisor final quien realiza la validación de fondo del expediente y forma del acto administrativo. Por último, dicho acto administrativo revisado y aprobado se carga en la plataforma MICC para ser enviado a etapa de suscripción.
</t>
  </si>
  <si>
    <t xml:space="preserve">Errónea interpretación o desconocimiento jurídico y/o técnico de la documentación aportada en la solicitud para la revisión y otorgamiento de la licencia. </t>
  </si>
  <si>
    <t xml:space="preserve">1. Listados de asistencia
2. Registro fotográfico
3. Invitación por parte de Subdirectora
4. Procedimientos actualizados en materia de Licenciamiento. 
</t>
  </si>
  <si>
    <t xml:space="preserve">Trazabilidad dentro de la plataforma MICC
</t>
  </si>
  <si>
    <t xml:space="preserve">Refuerzo en las capacitaciones sobre los siguientes temas:
Capacitaciones al personal de la Subdirección en el manejo del Sistema de Información MICC.
Retroalimentaciones al personal del grupo financiero.
Capacitaciones al personal de la Subdirección en materia de cultivo.
Capacitaciones al personal de la Subdirección en materia júridica.
</t>
  </si>
  <si>
    <t xml:space="preserve">El revisor procede a cotejar la información y a verificar que el AA coincida en cuanto a:  
1. Datos generales dentro de la plataforma MICC (nombres, cédulas, Nit, tipo de solicitud, números de matrículas inmobiliarias y predios,etc) 
2. RUES.  
3. VUR.
4. Estado actual de los requisitos dentro de la plataforma MICC (técnico, juridico y financiero)
5. Tipo de licencia objeto del trámite (psico, no psico, semillas)
6. Coincidencia en modalidades requeridas. 
7. Validación de la autorización de la notificación a traves de la plataforma MICC por parte del solicitante. 
</t>
  </si>
  <si>
    <t xml:space="preserve">Durante el II reporte cuatrimestral, el riesgo no se ha materializado y el control ha sido efectivo, en este periodo se realizaron cuatro (4) capacitaciones internas a fin de minimizar la posibilidad de errores durante el proceso del trámite de otorgamiento de licencias de cannabis (psico, no psico y semillas), las cuales se llevaron a cabo de la siguiente manera:
1. El 5 de junio al grupo de Control de Cannabis para fines médicos y científicos se realizo una capacitación sobre el registro general de actividades de la plataforma MICC en la cual se enfatizó en los tipos y clases de movimientos como tambien en el proceso de tercerización. Por ultimo se realizó una actividad conmemorando el dia internacional del ambiente sobre el reconicimiento del territorio ambiental de la ciudad de Bogotá.                                                                                                                                          
2. El 23 de junio se realizó una capacitación sobre el proceso de cargue de documentos para aclarar  dudas frente a esta actividad, fue dirigido al grupo responsable de este proceso.                                        
3. El 5 de julio se realizó una capacitación para el empalme del equipo  jurídico de la subdirección con los nuevos abogados, para lo cual se realizó una re inducción de las obligaciones del grupo cannabis de  la SCFSQYE y se despejaron dudas de los procedimientos y obligaciones en general.                                              
4. El 17 de julio se realizó una capacitación específica de Cupos, se hizo enfasis en las novedades de la solicitud de cupos por primera vez desde la plataforma MICC.
Acatando las observaciones generadas por la Oficina de Control Interno, se realiza reunión el 30 de agosto con la Oficina Asesora de Planeación con el fin de revisar y ajustar la estructura de los riesgos asociados a la Subdirección de Control y Fiscalización de Sustancias Químicas y Estupefacientes. 
 </t>
  </si>
  <si>
    <t xml:space="preserve">Durante el II cuatrimestre, el riesgo no se ha materializado y el control ha sido efectivo por medio de los controles establecidos se ha logrado la detección oportuna de los errores humanos que se pueden generar como son: digitación erronea de datos como: NIT, razón social, tipo de solicitud, números de matrículas inmobiliarias, predios, entre otros así como la verificación del cumplimiento de los requisitos generales y especificos del trámite. 
Como evidencia se adjunta: 
-Correo del abogado par asignado informando el envio del Acto Administrativo para su respectiva revisión. 
-Correo de revisor final informando a abogado que proyectó las observaciones y comentarios respecto a la revisión final realizada. 
-Pantallazos de la trazabilidad del trámite en MICC.
-Reporte de trazabilidad generado desde MICC. </t>
  </si>
  <si>
    <t>Afectación economica y deterioro a la imagen institucional del Ministerio de Justicia y del Derecho al presentar errores en el proceso de expedición del Certificado de Carencia de Informes por Tráfico de Estupefacientes y posibles utilizaciones indebidas o desvios a la industria ílicita por autorizaciones erroneas, al no cumplir los requisitos normativos para su expedición</t>
  </si>
  <si>
    <t>Generar acciones que contribuyan a la implementación de la política pública de drogas, criminal y penitenciaria, de los
mecanismos de cooperación juridica internacional y la justicia transicional con el fin de fortalecer la gestión publica entorno a lucha contra la criminalidad y
reincidencia</t>
  </si>
  <si>
    <t>Errores en la revisión del trámite por parte de los profesionales que intervienen en el otorgamiento del Certificado de Carencia de Informes por Trafico de Estupefacientes - CCITE.</t>
  </si>
  <si>
    <t xml:space="preserve">Los funcionarios y/o contratistas designados por la Subdirección de Control y Fiscalización de Sustancias Químicas y Estupefacientes- Grupo Control de Sustancias Químicas- cada vez que se presente una modificación, actualización normativa conforme a la actualización procedimiental aplicable a la Subdirección en materia de sustancias químicas controladas y/o de la plataforma SICOQ, a fin de minimizar la posibilidad de errores durante el proceso del trámite de expedición de CCITE  fortalecerá el conocimiento a través de la programación de capacitaciones dirigidas a todo el personal del grupo de Control de Sustancias Químicas con el objetivo de reducir los errores en la revisión de los tramites y de mantener el equipo actualizado frente a los cambios normativos.
Evidencia: Material actualizado  (Micrositio)
Actas, invitaciones, material para capacitaciones internas y externas. 
</t>
  </si>
  <si>
    <t>Errónea interpretación o desconocimiento jurídico y/o técnico de la documentación aportada en la solicitud.</t>
  </si>
  <si>
    <t>Los funcionarios y/o contratistas asignados por la Subdirección de Control y Fiscalización de Sustancias Químicas y Estupefacientes- Grupo Control de Sustancias Químicas deben realizar la revisión final del trámite acuerdo a los artículos 2.2.2.6.3.2. Requisitos generales  para la solicitud de CCITE y  2.2.2.6.3.3. Requisitos generales de indole técnico para la solicitud de CCITE de acuerdo al decreto 0585 del 2018, así mismo se realizará la validación de los antecedentes por el delito de la ley 30, validación y corroboración del pago generado,  en caso de incumplir con alguno de los requisitos ya establecidos, se deberá realizar la devolución al profesional que proyectó para su corrección antes de ser expedido el CCITE.</t>
  </si>
  <si>
    <t>Errores detectados en la revisión del trámite por parte de los profesionales que intervienen en el otorgamiento del Certificado de Carencia de Informes por Trafico de Estupefacientes - CCITE.</t>
  </si>
  <si>
    <t xml:space="preserve">Refuerzo en las capacitaciones sobre los siguientes temas:
Capacitaciones al personal de la Subdirección en el manejo del Sistema de Información SICOQ.
Capacitaciones al personal de la Subdirección en materia júridica y química referente al trámite de expedición de sustancias químcas. 
 </t>
  </si>
  <si>
    <t xml:space="preserve">Para una correcta revisión final del trámite de Certificado de Carencia de Informes por Tráfico de Estupefacientes se deberá validar la documentación exigida de acuerdo a la normatividad vigente decreto 0585 de 2018. 
</t>
  </si>
  <si>
    <t>Trazabilidad en SICOQ
Correos electrónicos del revisor solicitando las correcciones a realizar antes de la expedición del CCITE</t>
  </si>
  <si>
    <t xml:space="preserve">Durante el II cuatrimestre, se realizaron dos (2) capacitaciones internas a fin de minimizar la posibilidad de errores durante el proceso del trámite de expedición del Certificado de Carencia de informes por Tráfico de Estupefacientes, las cuales se llevaron a cabo de la siguiente manera:
1. Capacitación dirigida a los abogados de control de sustancias químicas que participan en el trámite de expedición de Certificados de Carencia y Autorizaciones Extraordinarias, la cual se llevó a cabo el 11 de julio de 2023, con el objetivo de profundizar, fortalecer y unificar criterios en los siguientes temas:
Prorrogas, Desistimientos, Inmovilizaciones e incautaciones, Estados del sistema SICOQ. 
2. Capacitación dirigida a los abogados control de sustancias químicas que intervienen en el trámite de expedición de Certificados de Carencia y Autorizaciones Extraordinarias, llevada a cabo el 26 de julio de 2023, con el objetivo de profundizar, fortalecer y unificar criterios en los siguientes temas: 
Procedimiento adecuado de la mesa de trabajo, Sucursales extranjeras, Actos administrativos y Calidad de apoderados. 
3. Capacitación dirigida a los abogados del grupo de Control de sustancias químicas, llevada a cabo el 10 de agosto de 2023, con el objetivo de unificar criterios, fortalecer el tramite en cuanto a los siguientes temas: Agentes de la cadena de distribución de combustibles y causales de autorizaciones extraordinarias.
Así mismo, también se mantiene actualizado el micrositio de Sustancias químicas del Ministerio de Justicia de Justicia y del Derecho con el fin de mantener informado al usuario respecto a las actualizaciones normativas y demás información relevante, la actualización realizada durante este reporte es: 
1. En el micrositio de Control para el manejo de productos y sustancias químicas en el Item de Conceptos Técnicos Sectoriales,  se publicó el 13 de julio de 2023 la CIRCULAR No MJD-CIR23-0000047-SCF-30320  correspondiente al concepto técnico sectorial sobre Baterías y Pilas de Zinc-Carbón, Alcalinas y de Botón, para conocimiento de los usuarios de estos productos. 
Evidencia: Se adjunta correo electronico de la solicitud de la publicación del concepto técnico y la circular.
</t>
  </si>
  <si>
    <t xml:space="preserve">
Durante el II cuatrimestre, el riesgo no se ha materializado y el control ha sido efectivo por medio de los controles establecidos se ha logrado la detección oportuna de los errores humanos que se pueden generar como lo puede ser la digitación erronea de datos como: NIT, razón social, cedulas, corroboración del soporte de pago, entre otros así como la verificación del cumplimiento de los requisitos generales y especificos del trámite. 
Como evidencia se adjunta: 
-Correos del revisor final realizando la retroalimentación y la devolución del trámite con las observaciones al profesional que reviso el tramite.
</t>
  </si>
  <si>
    <t>El equipo financiero en apoyo del grupo de soporte MICC de la SCFSQE, permanentemente supervisará el grado de avance de la implementación del modulo de novedades el cual hace parte del módulo financiero (novedades) en el MICC, con el fin de priorizar la puesta en producción del mismo a partir del cumplimiento de las obligaciones establecidas en el contrato. En caso de presentarse retrasos en la implementación del módulo el supervisor del contato realiza los requerimientos necesarios al contratista. Como evidencia quedan los correos de seguimiento a la implementación y requerimientos asociados.</t>
  </si>
  <si>
    <t xml:space="preserve">El centralizador, mensualmente, verificará la incorporación y registro de las nuevas licencias otorgadas en el Mecanismo de Información para el Control de Cannabis (MICC). En caso de encontrar inconsistencias se realiza el requerimiento a los responsables del cargue de la información a la plataforma MICC para su corrección. como evidencia quedan los correos solicitando ajuste de la información y la trazabilidad en el MICC. </t>
  </si>
  <si>
    <t>El grupo financiero de la SCFSQE mensualmente requiere al grupo jurídico de la Subdirección el número de licencias otorgadas en el mes inmediatemente anterior, para su incorporacion y registro con el fin de determinar las obligaciones de cada uno de los licenciatarios. En caso de incumplimiento en la entrega de la información, se reitera la solicitud. Como evidencias quedan los correos electrónicos de solicitud y entrega de la información.</t>
  </si>
  <si>
    <t xml:space="preserve">El encargo del grupo juridico asignado por la Subdirección, debe remitir al equipo financiero de la subdirección, mensualmente la información correspondiente al número de licencias expedidas y su modalidad en el mes inmediatamente anterior. </t>
  </si>
  <si>
    <t>Correos electrónicos por parte de grupo jurídico informando   los actos administrativos y el número de licencias otorgadas en el mes inmediatemente anterior,</t>
  </si>
  <si>
    <t>Realizar requerimientos al equipo de soporte MICC quien es el encargado de solicitar las correcciones al contratista (PENSEMOS SI) para la correcta implementación del modulo de novedades - financiero</t>
  </si>
  <si>
    <t>1/01/2023AX13</t>
  </si>
  <si>
    <t>Módulo financiero MICC
Correos de requerimiento al equipo de soporte MICC y al proveedor PENSEMOS SI sobre las modificaciones</t>
  </si>
  <si>
    <t xml:space="preserve">Verificar y actualizar el MICC con las licencias </t>
  </si>
  <si>
    <t xml:space="preserve">El riesgo no se ha materializado y el control ha sido efectivo. El grupo juridico de la Subdirección de Control y Fiscalización de Sustancias Químicas y Estupefacientes reporta de manera oportuna todos los meses el total de los actos administrativos de otorgamiento de licencias al Grupo Financiero para su actualización en el Mecanismo de Información para el Control de Cannabis (MICC) con el fin de determinar las obligaciones de cada uno de los licenciatarios. 
Como evidencia se adjunta: 
Correos del líder juridico reportando al grupo financiero el total de los actos administrativos correspondientes a otorgamientos y/o modificaciones de los meses Abril, mayo, junio y julio. </t>
  </si>
  <si>
    <t>Durante el periodo a reportar, luego de haberse recibido el modulo financiero por parte del proveedor, se realizaron ejercicios de prueba de casos reales para la verificación del correcto funcionamiento, es decir, que no hayan errores de calculo dentro del mismo. A finales del mes de agosto, se realizó la puesta en marcha blanca del modulo, así mismo el equipo financiero de la subdirección se encuentra trabajando sin novedades.
Correo_ de Ing. de sistemas informando a Equipo Financiero la puesta en producción del modulo_23082023
Plan de Implementación (Novedades Financieras)</t>
  </si>
  <si>
    <t>Durante el II Cuatrimestre, el riesgo no se ha materializado y el control ha sido efectivo. Asi mismo, con el inició de la marcha blanca del modulo financiero dentro del MICC, el 04 de Julio se formuló y se dió inicio a la ejecución del Plan de Trabajo establecido por el grupo financiero con el fin de darle continuidad a la siguiente fase de migración que corresponde a las evidencias de soporte de pago que allegan los licenciatarios en las diferentes etapas de sus licencias. 
La acción anteriormente descrita, fortalece el proceso financiero mitigando la probabilidad de materialización de los riesgos planteados. 
Correo de lider de financiera a SCFSQyE informando avances del Plan de trabajo
Plan de Trabajo - Grupo Financiero</t>
  </si>
  <si>
    <t>Deficiencias en la gestión o demoras en los procesos por la pérdida de información contenida en medio electrónico, al no contar con la seguridad necesaria para salvaguardar la información o los backups requeridos</t>
  </si>
  <si>
    <t>Fallas de los dispositivos de la infraestructura tecnológica</t>
  </si>
  <si>
    <t>Daño o alteración en los activos de información</t>
  </si>
  <si>
    <t>Pérdida de activos de información</t>
  </si>
  <si>
    <r>
      <t xml:space="preserve">2. El Subdirector de Tecnologías y Sistemas de Información y el equipo de recuperación (grupo DRP), cada vez que se presente un evento contingente (falla, indisponibilidad, intermitencia) de los servicios tecnológicos que soportan al Ministerio, evalúa el evento y determina si activa el plan de Contingencia del componente afectado. En caso de no requerir o de no poder activar la contingencia informa a los usuarios el Subdirector de Tecnologías y Sistemas de Información afectados la no disponibilidad del componente afectado para que el área se busque otra alternativa de operación. </t>
    </r>
    <r>
      <rPr>
        <b/>
        <sz val="11"/>
        <color theme="1"/>
        <rFont val="Abadi"/>
        <family val="2"/>
      </rPr>
      <t>Evidencia:</t>
    </r>
    <r>
      <rPr>
        <sz val="11"/>
        <color theme="1"/>
        <rFont val="Abadi"/>
        <family val="2"/>
      </rPr>
      <t xml:space="preserve"> Documentación de activación de contingencia por parte del líder de DRP o correo informando que no es posible activar la contingencia a los usuarios afectados enviado por el Subdirector de Tecnologías y Sistemas de Información. </t>
    </r>
  </si>
  <si>
    <r>
      <t xml:space="preserve">7. El dueño de cada activo de información con la orientación del Oficial de Seguridad del Ministerio de Justicia y del Derecho anualmente realiza la actualización del inventario de activos de información del Ministerio. El dueño de cada activo debe asegurar la aplicación de los controles (respaldo físico, electrónico y/o digital) correspondientes para garantizar la preservación del activo de información de acuerdo con el periodo de retención. En caso de no poder asegurar el control busca una forma alternativa de respaldo. </t>
    </r>
    <r>
      <rPr>
        <b/>
        <sz val="11"/>
        <color theme="1"/>
        <rFont val="Abadi"/>
        <family val="2"/>
      </rPr>
      <t xml:space="preserve">Evidencia: </t>
    </r>
    <r>
      <rPr>
        <sz val="11"/>
        <color theme="1"/>
        <rFont val="Abadi"/>
        <family val="2"/>
      </rPr>
      <t xml:space="preserve">Matriz de activos de información consolidada por el Oficial de Seguridad y aprobación de los activos por parte del dueño del activo.
</t>
    </r>
  </si>
  <si>
    <t>Documentación activación del DRP</t>
  </si>
  <si>
    <t>Continuando con el proceso de actualización de la documentación del sistema de Calidad, me permito remitir dos (2) riesgos adicionales a los existentes, para su registro en el Mapa  de riesgos de la Dirección de Tecnologías y Gestión de la información:
1.Fallas de los dispositivos de la infraestructura tecnológica-  Continuidad del negocio
2.Daño o alteración en los activos de información - Seguridad de la información.
Es de tener en cuenta que, estos riesgos contaran con seguimiento en el próximo cuatrimestre ( diciembre de 2023).</t>
  </si>
  <si>
    <t>Afectación del desempeño institucional y deficiencias en la gestión por procesos, por falta de información para la toma de decisiones a nivel directivo, debido al seguimiento inoportuno al sistema integrado de gestión</t>
  </si>
  <si>
    <t>El riesgo no se ha materializado, toda vez  que se desarrollan las actividades de mantenimeinto del SIG conforme a lo planeado y los controles han sido efectivos, toda vez que se ha solicitado la información realcionada con la actualización de indicadores, de producto no conforme, planes de mejoramiento y riesgos. Adicionalmente se genran informes de seguimiento del SIG, los cuales se publican en los sigueintes links: https://intranet.minjusticia.gov.co/sistema-integrado-degestion/Paginas/Informes-SIG.aspx y https://www.minjusticia.gov.co/ministerio/Paginas/Indicadores-de-Proceso.aspx, Como evidencia se adjuntan los correos realizados para este tema</t>
  </si>
  <si>
    <t xml:space="preserve">Riesgo se mantiene. Se evidencian capacitaciones en PQRSD realizadas,de los temas priorizados según las encuestas realizadas en la vigencia pasada: Resolución de PQRSD, Reglamento Interno para atención PQRSD,  Naturaleza PQRSD, manejo SGDA, aplicación de procedimiento. </t>
  </si>
  <si>
    <t>Riesgo se mantiene. Se evidencian correos electronicos enviados de las siguientes dependencias: Almacen, Asuntos legislativos, Despacho del Ministro, Asuntos Internacionales, Metodos alternativos, Politica de drogas, Justicia formal, metodos alternativos, Direccion de ordenamiento, Gestión documental, Gestión contractual,  Gestión administrativa, Gestion Humana, Planeacion, comunicaciones, estrategia y analisis, gestión de la información, Tecnologia y sustancias.</t>
  </si>
  <si>
    <t xml:space="preserve">Se socializa informe 1 y 2 trimestre 2023 con los resultados de cada una de las dependencias, con los Memorandos informativos anexos. Estos informes,   fueron generados con base en la información del sistema de gestión documental (SGDEA), el reporte del sistema de turnos y algunas estadísticas de atenciones telefónicas suministras por las áreas, así como la información verificada por cada una de las dependencias del Ministerio de Justicia y del Derecho </t>
  </si>
  <si>
    <t xml:space="preserve">Se socializa alertas de PQRSD para ser tenidas en cuenta por las areas. De acuerdo a esto:  Se determina si es una PQRDSF,  termina la gestión en el sistema SGDEA con oportunidad, adjunta respuestas tanto en correspondencia relacionada como en los documentos anexos y revisar o solicitar el cambio de tipología (si es necesario).  </t>
  </si>
  <si>
    <t>1. Participar en capacitaciones de DNP, y realizar la programación de capacitaciones que se consideren pertinentes para fortalecer la formulación de los proyectos de inversión, teniendo en cuenta la metodología vigente por el DNP</t>
  </si>
  <si>
    <t>1. Participación capacitaciones DNP
2. Listados de asistencia capacitaciones internas MJD, evidencias de su ejecución.</t>
  </si>
  <si>
    <t>1. Informe trimestral de seguimiento proyectos de inversión.
2. Matriz de seguimiento de metas proyectos de inversión.</t>
  </si>
  <si>
    <t>1. Elaborar informe trimestral de seguimiento a la ejecución presupuestal.</t>
  </si>
  <si>
    <t>1. Informe de seguimiento a la ejecución trimestral
2. Evidencias reunión de seguimiento
3. Recomendaciones y/o alertas</t>
  </si>
  <si>
    <t xml:space="preserve">
2. Recomendaciones o alertas informando a dependencia responsable en el marco de la reunión de seguimiento mensual.</t>
  </si>
  <si>
    <t>1. Elaborar informe trimestral de seguimiento proyectos de inversión, matriz de seguimiento de metas y requerir a dependencias si aplica.</t>
  </si>
  <si>
    <t xml:space="preserve">El Grupo de nómina y el /la coordinador/a de GGH deben:
Exigir el respeto del cronograma anual de ingreso de novedades
Realizar una prenómina que permita verificar la información ingresada al software Kactus, sin afectarse en caso que haya una extemporaneidad,
Verificar posibles incosistencias
Evidencia: 
Soportes de novedades en formato digital
Soportes de liquidación y cargue de novedades (SIIF, RF, Reporte de Bancos, Libranzas, AFC y AFP, Embargos, entre otros) 
Prenómina
Circulares y correos de cumplimiento cronograma de novedades.
Soportes de liquidación y cargue de novedades (SIIF, RF, Reporte de Bancos, Libranzas, AFC y AFP, Embargos, entre otros) </t>
  </si>
  <si>
    <t xml:space="preserve"> No se ha materializado el riesgo y los controles han sido efectivos, por lo que se generó: Circular N.MJD-CIR23-0000008-GGH-40400 donde se establece el cronograma de entrega de novedades de Nómina al Grupo de Gestión Humana garantizando los tiempos de ingreso al sistema de liquidación. Causación oportuna, al recibir las novedades revisadas e ingresadas en el aplicativo Kactus.
Realización de pre - nómina de mayo a agosto de 2023: Una vez ingresadas las novedades de la nómina correspondiente, se procede a liquidar la prenomina y se genera un archivo en excel, con el fin de revisar, identificar y ajustar inconsistencias que se puedan presentar, conforme a la validación respectiva. EVIDENCIAS APORTADAS:  1.Prenóminas mayo, junio, julio y agosto de 2023.  
2. MJD-CIR23-0000008_ Memorando Cronograma Novedades _Nómina_Grupo de Gestión Humana. 
Conforme a lo establecido en el cronograma de nómina, las novedades que lleguen posterior al cierre de las mismas serán incluida en la nómina del mes siguiente. 
Frente a las observaciones de OCI:
Riesgo 32: No contemplado en la observación de impacto de imagen, se encuentra correspondencia en la descripción del riesgo y la causa; los controles también son adecuados y han funcionado efectivamente.
No obstante se ajusta la redacción de los controles</t>
  </si>
  <si>
    <t>Afectación en el desmpeño laboral de los servidores del Ministerio por desactualización de sus conocimientos para desarrollar sus funcciones, debido al Incumplimiento del desarrolllo de un Plan Institucional de Capacitación efectivo, que responda a las necesidades manifiestas para el logro de la misionalidad del Ministerio y cuente con los recursos necesarios para el mismo</t>
  </si>
  <si>
    <t xml:space="preserve">Detección de necesidades de capacitación adecuadamente
Aprovechamiento de la oferta institucional de otras entidades públicas que capaciten a costo cero, 
Estructuración de los PAE con personal del Ministerio en tematicas especificas, 
Evidencia: 
Diagnóstico de necesidades de capacitación
Lista de aistencia a las capacitaciones convocadas
Proyectos de Aprendizaje en Equipo
Asignación presupuestal </t>
  </si>
  <si>
    <t>El riesgo no se materializó, toda vez que se ha llevado las siguientes acciones que atienden a los controles durante el cuatrimestre:
 De acuerdo con el diagnóstico de necesidades de capacitación, se vienen ejecutando los cursos y diplomados dirigidos a nuestros funcionarios, algunas de las capacitaciones se han realizado   con apoyo interinstitucional por parte del SENA y de la Caja de Compensación Familiar Colsubsidio y la Escuela Superior de Administración Pública- ESAP.
Se suscribió el contrato 1028 de 2023, con el objeto de: “Realizar las capacitaciones enmarcadas dentro del Plan Institucional de Capacitación según lineamientos del Departamento Administrativo de la Función Pública", GARCIA &amp; LOPEZ CONSULTORÌA, DEFENSA JURÌDICA Y CAPACITACIÒN G&amp;L SAS, para la realización de 5 diplomados y 2 cursos.
Durante el cuatrimestre se está llevando a cabo el curso de inducción del Ministerio de Justicia y del Derecho a los funcionarios que ingresan a la entidad
Se convocaron a los altos directivos a realizar el Curso de inducción altos funcionarios-ESAP, certificaciones en las historias laborales respectivas
Se adelanto el curso de inducción y reinducción en trabajo colaborativos con la Oficina de Prensa y Aulas Virtuales 
Se adelanto el procedimiento de becas, el cual se encuentra en revisión de la Oficina Asesora de Planeación 
Se adelantaron los estudios previos y análisis del sector con la UNAD y la ESAP
Se realizaron los Proyectos de Aprendizajes en equipo 2023 en el cuatrimestre, desarrollados por los funcionarios del MJD.
Cronograma Capacitación 20231.xlsm
 PIC 2023
 INDUCCION 2023 MJD FUNCIONARIOS NUEVOS
 CURSO DE INDUCCION PARA ALTOS FUNCIONARIOS DE ESTADO_ESAP 2023
Cronograma actualizacion curso de induccion y reinduccion.xlsm
DIVULGACION DE BECAS
CONVENIOS INTERADMINISTRATIVOS
Proyectos PAE.
Frente a las observaciones de la OCI: Se ajusta redacción del riesgo y los controles definidos</t>
  </si>
  <si>
    <t>No se materializa el riesgo, toda vez que se cumple con, la revisión  de requisitos establecidos en el manual de funciones con los soportes entregados por los aspirantes en el formato F-THAD-01-09 denominado Calculo Tiempo de Experiencia Laboral. Si el aspirante cumple requisitos se expide con firma de la Coordinadora del Grupo de Gestión Humana el certificado de cumplimiento de requisitos en el formato F-THAD-01-05.
De igual forma se valida los siguientes documentos: Certificados de antecedentes fiscales, disciplinarios y judiciales y si es el caso el certificado de antecedente de la profesión.  
Se remite oficio a las Instituciones Educativas para validar la autenticidad de los títulos académicos aportados por los nuevos funcionarios.
Se verifica continuamente las normas que rigen en la materia por si existen actualizaciones que se deben tener en cuenta al momento de validar el cumplimiento de requisitos.
EVIDENCIAS ADJUNTAS: Formato F-THAD-01-05 certificado de cumplimiento de requisitos para cada vinculación, Formato F-THAD-01-09 -Calculo Tiempo de Experiencia Laboral, Hoja de vida SIGEP firmadas por la Coordinadora de Gestión tramitados durante el periodo de mayo, junio, julio y agosto de 2023.</t>
  </si>
  <si>
    <t>El GHH viene realizando actividades de gestión en caminadas al mejoramiento de la calidad de vida laboral y familiar y reforzamiento del sentido de pertencia de los colaboradores del MJD, tales como: Minjusticia te Obsequia, yoga, feria artesanal talleres de finanzas, Cine en familia, Reconocimientos, Dias de la madre, padre, servidor público
EVIDENCIAS ADJUNTAS: Informe de planes del GGH SEGUNDO TRIMESTRE 2023,</t>
  </si>
  <si>
    <t>Pérdida de oportunidad en la agenda exterior del MJD por inasistencia a eventos por parte de los colaboradoresde la entidad, debido a retrasos en la revisión de la documentación asociada a las solicitudes de comisiones al exterior y/o pobre asesoría al beneficiario de la comisión , con deficiente diligencia en el trámite documental necesario para el aplicativo DAPRE</t>
  </si>
  <si>
    <t>Comunicación y orientación oportuna por parte del GGH para que el comisionado entregue los docuentos con suficiente tiempo, de acuerdo a los plazos maximos que exisaten para ello, si los documentos no son allegados a tiempo no será posible subir la información al aplicativo de presidencia. 
Evidencia: 
Guia Comisión de servicios al exterior G-THAD-01 G-THAD-01 Versión 3.
Correos electrónicos 
Documentación exigida</t>
  </si>
  <si>
    <t>No se ha materializado el riesgo, las comisiones solicitadas y aprobadas se realizaron y gestionaron oportunamente, se adjunta evidencia de las comisiones al exterior otorgadas en los meses de mayo, junio, julio y agosto de 2023, con sus respectivos soportes.
Frente a las Observaciones de OCI: Se ajusta la redacción del riesgo y se especifican los controles
Evidencias aportadas: Documentación tramitada para cada comisión otorgada, incluyendo los formatos diligenciados.</t>
  </si>
  <si>
    <t>Pérdida de recursos del Ministerio de Justicia y del Derecho por el no reconocimiento de incapacidades superiores a dos días, por parte de las EPS o ARL, debido a la ausencia de gestión en su cobro del GGH y la ausencia de articulación con gestión financiera en dicho proceso</t>
  </si>
  <si>
    <t>En el momento se adelanta seguimiento continuo para el recobro de las incapacidades ante las distintas entidades promotoras de salud EPS, a travez de su 
aplicativo, con el fin de que no se materialice el riesgo; para lo cual se realizó un 
plan de mejoramiento, dentro del cual se incluyeron las siguientes actividades:
1. Revisar y ajustar el instructivo de incapacidades de acuerdo con la normatividad 
vigente y exigencias de las EPS.
2. Realizar las acciones pertinentes para el cobro de las incapacidades ante las EPS.
3. Continuar con la depuración de los valores registrados en la cuenta contable 
138426001 – pago de cuentas de terceros, por concepto de recobro de 
incapacidades a las EPS.
4. Mesas de trabajo con las dependencias competentes y necesarias del Ministerio 
de Justicia y del Derecho para articular los cobros de incapacidades, según 
necesidad y ajuste de trámite administrativo.
Con el fin de dar cumplimiento con las actividades relacionadas anteriormente, el 
Grupo de Gestión Humana realizó lo siguiente:
Segundo cuatrimestre 2023
1. El Grupo de Gestión Humana modificó instructivo de incapacidades I-TH -03 -
01 GESTIÓN DE INCAPACIDADES el cual se encuentra en etapa de publicación 
y socialización.
2.Seguimiento al recobro de incapacidades a través del Cuadro de control: En el 
momento se adelanta seguimiento continuo para el recobro de las incapacidades 
ante las distintas entidades promotoras de salud EPS, a través de su aplicativo; 
como se evidencia en el consolidado de vigencia 2023 del segundo cuatrimestre, 
donde se ha recaudado la suma de $84.321.278, conciliaciones realizadas con el 
Grupo de Gestión Financiera y Contable, una vez ingresan estos recursos por 
concepto de incapacidad en la cuenta del Ministerio de Justicia y del Derecho.
Así mismo, se realiza seguimiento al cobro de incapacidades ante las EPS mediante 
el radicado de los diferentes oficios según la situación de cada servidor público.
3.En el momento el Grupo de Gestión Humana en coordinación con el Grupo de 
Gestión Financiera y Contable continúa adelantando el proceso de depuración de 
incapacidades al Gasto y Cuentas por Cobrar, con el objeto de que estas sean 
conciliadas por parte del Grupo de Gestión Financiera y Contable. Para lo cual el 
Grupo de Gestión Humana realiza periódicamente el informe detallado de las 
incapacidades que son registradas en las nóminas de la presente vigencia, 
agrupadas por EPS y relacionando de manera separada los valores por 
incapacidades que serán contabilizados como gasto y los valores que serán 
contabilizados como cuentas por cobrar a EPS.
4. Mesas de trabajo: Se trabaja articuladamente con el Grupo de Gestión Financiera 
y Contable y Dirección Jurídica.
Adicional a la acción de mejoramiento el Grupo de Gestión Humana cuenta 
actualmente con un equipo encargado del tema de incapacidades, el cual se 
encuentra capacitado para realizar las gestiones pertinentes de cobro y recobro de 
pago de incapacidades.
soportes acciones mejoramiento riesgo.
Frente a las observaciones realizadas por la OCI: Se complementa la redacción del riesgo</t>
  </si>
  <si>
    <t>Es de tener en cuenta que, este riesgo contará con seguimiento en el próximo cuatrimestre, diciembre de 2023, toda vez que se formula atendiendo la recomendación de la Dirección de Tecnología sobre continuidad del negocio.</t>
  </si>
  <si>
    <t>Inadecuada gestion y seguimiento de los procesos para la contratación de personal del equipo territorial.</t>
  </si>
  <si>
    <t>Incumplimiento en las asistencias técnicas planeadas en los territorios en materia de drogas.</t>
  </si>
  <si>
    <t>Incumplimiento de los objetivos y metas en el Plan de acción de la Política territorial de drogas</t>
  </si>
  <si>
    <t>Incumplimiento en la aplicación de la política de drogas en los territorios por el inasistencia a las actividades planificadas (Acompañamiento y asistencia tecnica a entes territoriales), debido a la deficiente programación de acompañamiento y seguimiento a para su aplicación e implementación</t>
  </si>
  <si>
    <t>Proceder con la corrección de la información precontracual  inconsistente o no clara y solicitud de la información faltante.</t>
  </si>
  <si>
    <t>Mala imagen institucional por el incumplimiento en el desarrollo de los estudios e investigaciones a causa de información inconsistente entregada por terceros o estudios e investigaciones inoportunos</t>
  </si>
  <si>
    <t>Incumplimiento en el desarrollo de los estudios e investigaciones a causa de información inconsistente entregada por terceros o estudios e investigaciones</t>
  </si>
  <si>
    <t xml:space="preserve">Mala imagen institucional por el incumplimiento en el desarrollo de los estudios e investigaciones </t>
  </si>
  <si>
    <t xml:space="preserve">Devolución de la documentación requerida para la contratación de personal par la administración del ODC que participa en el seguimiento a los estudios e investigaciones </t>
  </si>
  <si>
    <t xml:space="preserve">En caso de tener demoras en el desarrollo de los estudios  e investigaciones, se fortalecerá el equipo de trabajo y seguimiento.  </t>
  </si>
  <si>
    <t>No contar con el adecuado seguimiento a los compromisos establecidos en las sesiones del Consejo Nacional de Estupefacientes</t>
  </si>
  <si>
    <t>Posibles incumplimientos a los compromisos establecidos en las sesiones del Consejo Nacional de Estupefacientes
No contar con información para la adecuada toma de decisiones por parte del Consejo Nacional de Estupefacientes.
Incumplimiento o retraso en la gestión de los compromisos adquiridos ante el Consejo Nacional de Estupefacientes.</t>
  </si>
  <si>
    <t>El secretario técnico del Consejo Nacional de Estupefacientes, a la tercera vez de no recibir respuestas a las solicitudes de información para los seguimientos de los compromisos adquiridos en el marco de las sesiones del Consejo Nacional de Estupefacientes, y a fin de poder dejar en evidencia el incumplimiento y a su vez solicitar apoyo para el cumplimiento de esta función como secretaría técnica, remitirá una nueva solicitud de información pero esta vez lo hará con copia al ente de control competente, pidiendo el acompañamiento de este último e informando del incumplimiento. Si luego de realizada la nueva solicitud se recibe respuesta por parte de las entidades, igual se dejará en evidencia el incumplimiento a las solicitudes previas, el cual servirá como prueba en caso de que el ente de control decida abrir alguna investigación.
Adicionalmente se debe elaborar una matriz de seguimiento de compromisos pendientes de cada sesión</t>
  </si>
  <si>
    <t>Elaboración de las solicitudes de información sobre el cumplimiento de la obligación. Copia del envío de esta nueva solicitud a los entes de control que correspondan.
Elaborar una Matriz de seguimiento de compromisos pendientes de cada sesión</t>
  </si>
  <si>
    <t>No se materializó el riesgo, toda vez que el Grupo de Apoyo a la Secretaria Técnica del Consejo Nacional de Estupefacientes realizó el seguimiento de compromisos que se actualiza cada vez que el Consejo Nacional de Estupefacientes sesiona. En razón a este control se hace el rastreo de los compromisos adquiridos y el cumplimiento de ellos.</t>
  </si>
  <si>
    <t>El Convenio de Cooperación con la Oficina de Naciones Unidas Contra las Drogas está actualmente en ejecución sin novedades ni retrasos, se realiza seguimiento mensual de avance de los compromisos adquiridos, hasta el momento no se ha materializado este riesgo y se vienen gestionando las labores de seguimiento y control para asegurar la no materialización de desviaciones en los presupuestos y tiempos establecidos.Por lo anterior, no se materializó el riesgo</t>
  </si>
  <si>
    <t>Para el segundo cuatrimestre de 2023, en la Dirección de Drogas y Actividades Relacionadas y la Subdirección estratégica y de Análisis no se realizó devolución de la documentación requerida para la contratación de personal, en importante señalar que cada mes se viene realizando reuniones de seguimiento a los procesos contractuales para mantener el nivel de control de riesgos asociado.Por lo anterior, no se materializó el riesgo</t>
  </si>
  <si>
    <t>Para el segundo cuatrimestre de 2023, en la Dirección de Drogas y Actividades Relacionadas y la Subdirección estratégica y de Análisis no se realizó devolución de la documentación requerida para la contratación de personal, es importante señalar que cada mes se viene realizando reuniones conjuntas de seguimiento a los procesos contractuales para mantener el nivel de control de riesgos asociado tanto para la Dirección como para la Subdirección. 
La evaluación y las acciones de control del riesgo, no se deberían unir con otro riesgo (corrupción) debido a que es una herramienta de seguimiento y control para cumplir con los objetivos de contratación de personal que se tiene en estas dependencias, lo cual afecta de manera directa la gestión institucional de la dependencia..Por lo anterior, no se materializó el riesgo</t>
  </si>
  <si>
    <t>El equipo de territorios de la Dirección de Política de Drogas y Actividades Relacionadas, viene realizando el seguimiento a las asesorías técnicas en los departamentos y tomando las medidas que permitan cumplir el nivel de acompañamiento a las Entidades territoriales, de igual manera se viene participando en los eventos territoriales para el proceso de formulación de la nueva política nacional de drogas, con lo cual se superó ya el nivel de acompañamiento y asistencia técnica a los entes territoriales, por lo tanto, este riesgo de gestión no se materializo hasta el momento..Por lo anterior, no se materializó el riesgo</t>
  </si>
  <si>
    <t>Se evidencia que el proceso realizó la revisión del riesgo conforme a las recomendaciones de la OCI. Sin embargo, se recomienda incluir en la descripción del riesgo la causa raíz, tal como aparece en el diseño del riesgo según la Guía del DAFP (Impacto+causa inmediata+causa raíz). Se encuentra que el proceso realizó analisis de las causas e incluyó un nuevo control. Se requiere que el proceso revise dos puntos:  el control No 2, ya que este esta definido a eliminar una causa que no esta identificada tal como aparece así "Demora en la notificación del acto administrativo al interno por parte de la oficina jurídica del centro penintenciario", en cuyo caso no esta identificado como causa del riesgo. Por otro lado, no existe un control que elimine la causa No 2 "Errores de forma y/o de fondo en el acto administrativo que resuelve la solicitud de indulto".
Con respecto a la definición del plan de tratamiento, se encuentra muy bien establecida las acciones, así como el análisis del seguimiento realizado por la 1ra línea de defensa (proceso).
Se espera en el próximo seguimiento se subsanen estas observaciones y se pueda continuar avanzando en la gestión de los riesgos del proceso.</t>
  </si>
  <si>
    <t>No se ha atendido las recomendaciones de la OCI para este riesgo, aún le falta al diseño de la estructura del riesgo incluir la causa raíz, teniendo en cuenta que el riesgo lo compone (impacto+causa inmediata+causa raíz).
Se presenta error en la definición de la acción del plan de tratamiento no debe ser igual al control, por el contrario esta acción debe aportar en la reducción del riesgo.
Es necesario que se mejore la descripción del análisis del seguimiento del riesgo, ya que el actual no tiene ninguna relación con la ejecución de los controles y del plan de tratamiento. No es posible evaluar que los controles han sido efectivos. El análisis debe hacer entender al lector que la gestión del riesgo desarrolla su función de fortalecer el proceso evitando que se materialice el riesgo.</t>
  </si>
  <si>
    <t>Se precisa que el proceso revise todos sus riesgos (en total 12) de manera que no se identifiquen riesgos por actividades o tareas, así mismo se analicen sus causas. Si este ejercicio se realiza seguramente se pueden simplificar los riesgos del proceso, se identificaría causas raíz y controles efectivos que aportan valor al proceso de manera preventiva o detectiva. Esta recomendación se presenta ya que el riesgo que se evalúa se podría considerar una causa y no en sí mismo como un riesgo. Se recomienda revisar este riesgo en primera instancia porque posiblemente sea una causa , y segundo es preciso que se tenga en cuenta la Guía de Riesgos del DAFP, donde se menciona que un riesgo no debe ser la negación de un control "No se atienden las necesidades expresadas por la PPL, al no realizar el seguimiento a las visitas realizadas ni a los compromisos establecidos que son competencia del Ministerio, al no llevar un control sobre los compromisos establecidos".</t>
  </si>
  <si>
    <t xml:space="preserve">Es importante que el proceso revise sus procesos, con el fin de revisar su pertinencia, ya que el riesgo tal como se descibe no contien la estructura del riesgo y por otro lado,  puede considerarse como una causa y no un riesgo en sí. 
se recomienda desarrollar el análisis de causas para cada riesgo,lo cual podría facilitar la revisión de sus 12 riesgos, en los cuales podría simplificar los riesgos que actualmente tiene el proceso. </t>
  </si>
  <si>
    <t>Se recomienda revisar los riesgos del proceso, ya que tal como se describe se podría tratar de una consecuencia que de un riesgo en sí. Además se precisa se tenga en cuenta la Guía de Riesgos del DAFP. En este entendido no es posible valorar la efectividad de los controles del riesgo.</t>
  </si>
  <si>
    <t>Se recomienda revisar los riesgos del proceso, e analizar las causas del riesgo para incluir dentro de la descripción del riesgo la causa raíz.
Por tanto, al no tener claridad cual es la causa que origina el riesgo,se determinan controles ineficientes que eliminen dicha causa.  Además se precisa se tenga en cuenta la Guía de Riesgos del DAFP y mejorar la descripción de su seguimiento que de cuenta de la ejecución de sus controles y las acciones enmarcadas en el plan de tratamiento del riesgo. 
Por último, cuando se revise y ajuste el riesgo, definir acciones en el plan de tratamiento que aporte la ejecución del control, y no se establezca una acción como un actividad de desviación del control.</t>
  </si>
  <si>
    <t>El proceso aun no ha atendido las recomendaciones de la OCI en el periodo anterior. Se requiere con urgencia que el proceso revisey simplifique los riesgos actualmente identificados, ya que en algunos casos posiblemente sean causas o consencuencias de un riesgo definido o que se podría unificar en uno solo. Tener presente todas las recomendaciones descritas en el 1er cuatrimestre 2023.</t>
  </si>
  <si>
    <t xml:space="preserve">
</t>
  </si>
  <si>
    <t>Se recomienda revisar la descripción del control, ya que tal como se encuentra descrito sería una tarea y el medio es el formato que diligenciar, revisar si el control es el seguimiento a las visitas programas según su priorización y que esta se evalúe periodicamente. 
En la estructura del diseño del riesgo falta incluir el impacto del riesgo, teniendo en cuenta que según la Guía de Riesgos del DAFP lo define como: Impacto+ causa inmediata+causa raíz. Es importante llevar a cabo un análisis de las causas del riesgo para determinar el impacto que este puede generar en caso que se materialice. Por otro lado, aún se presenta debilidad en la formulación de las acciones del plan de tratamiento del riesgo según la opción de manejo después de controles para determinar como esa acción puede fortalecer el control, no puede pasar que la acción sea el mismo control. 
Es importante ampliar más la descripción del análisis indicando por ejemplo cual es el avance de las visitas programadas, de manera que pueda permitir al líder del proceso la toma de decisiones de forma oportuna</t>
  </si>
  <si>
    <t>Revisar que las últimas tres causas se encuentran duplicadas. Adicionalmente los controles no son eficientes, si bien una capacitación apoya el entendimiento de los procedimientos internos, estos no están siendo evaluados en su impacto al interior de las personas que ejecutan el proceso. Se requiere controles que eliminen la causa raíz, como por ejemplo una actividad de control, verificación, evaluación y seguimiento que permita garantizar la optima implementación de los Programas de la Dirección de Métodos Alternativos de Solución de Conflictos en los territorio. 
si se considera la implementación en el territorio, también debería realizarse un análisis de causas que permita entre otros identificar las necesidades de los territorios para optimizar los recursos públicos que permitan responder ante las necesidades de cada territorio y se cumpla el objetivo de los programas que lidera el Ministerio. 
Por otro lado, aún se presenta debilidad en la formulación de las acciones del plan de tratamiento del riesgo según la opción de manejo después de controles para determinar como esa acción puede fortalecer el control, no puede pasar que la acción sea el mismo control. 
Es importante ampliar más la descripción del análisis indicando por ejemplo cual es el avance de las visitas programadas, de manera que pueda permitir al líder del proceso la toma de decisiones de forma oportuna</t>
  </si>
  <si>
    <t>Se evalúa el riesgo, encontrando una correcto diseño del riesgo y controles. Aún persiste en todos los procesos incluyendo este, la debilidad entre el control y las acciones que se definen en el plan de tratamiento según la opción de manejo, como es el caso de la primera acción "1. Participar en capacitaciones de DNP, y realizar la programación de capacitaciones que se consideren pertinentes para fortalecer la formulación de los proyectos de inversión, teniendo en cuenta la metodología vigente por el DNP", es similiar al control No 1. Se recomienda revisar y reformular, así mismo, es importante que la acción sea de competencia del proceso y no dependa de un tercero</t>
  </si>
  <si>
    <t xml:space="preserve">Se evidencia que el proceso atendio todas las recomendaciones de la OCI presentadas en el periodo anterior. Se recomienda seguir revisando el riesgo para la próxima vigencia teniendo en cuenta que es un riesgo institucional y que este se afecta por los cambios en el entorno, actualizar y revisar la valoración del riesgo después de controles para la vigencia 2024. </t>
  </si>
  <si>
    <t>Se encuentra aún que el proceso no ha atendido las recomendaciones de la OCI, aún falta incluir en la estructura del riesgo el impacto según lo define la Guía del DAFP (impacto+causa inmediata+causa raíz). Igualmente se recomienda simplificar los riesgos del proceso, tal como se explicó en la evaluación del periodo pasado.</t>
  </si>
  <si>
    <t>Se atiende lasrecomendaciones de la OCI en cuanto el diseño del riesgo. Se encuentra aún debilidad en la definición de la acción del plan de tratamiento según la opción de manejo, no puede ser igual al control establecido para eliminar la causa raíz, debe complementar o fortalecer al control. 
Se recomienda atender estas observaciones de manera que se revise y actualice el riesgo en la próxima medición y contar con las evidencias que soporten su ejecución</t>
  </si>
  <si>
    <t xml:space="preserve">Se encuentra aún que el proceso no ha atendido las recomendaciones de la OCI, aún falta incluir en la estructura del riesgo el impacto según lo define la Guía del DAFP (impacto+causa inmediata+causa raíz). Igualmente se recomienda simplificar los riesgos del proceso, tal como se explicó en la evaluación del periodo pasado.
Se deberían incluir acciones del plan de tratamiento relacionado con actividades que fortalezcan la cultura organizacional teniendo en cuenta el resultado del clima laboral y que estas se articulen a los planes de bienestar y capacitación. </t>
  </si>
  <si>
    <t xml:space="preserve">Revisar si entre las causas existe el desconocimiento de los requisitos del trámite, la revisión o simplificación de los tiempos del trámite, cuales son los cuellos de botella, en fin, se requiere ampliar el análisis de causas del riesgo para determinar controles optimos que eliminen la causa raíz evitando que dicho riesgo se materialice.
Revisar y reformular el control NO 1, ya que este no es de competencia del GTH, el control debe considerarse una acción repetitiva, con una periodicidad constante, con función de revisión, seguimiento, evaluación y verificación que le permita al proceso tomar deciiones. 
No se encuentra validado el riesgo residual, por tanto, no es posible evaluar la efectividad de los controles. Se recomeinda a la 1ra y 3ra línea estar atentos al debido diligenciamiento de toda la matriz
Se recomienda subsanar estas recomendaciones, incluyendo mejorar el anáisis del riesgo, donde se evidencieel resultado de la ejecución de los controles, por ejemplo; cuantas solicitudes fueron allegadas, cuantas fueron denegadas, etc. </t>
  </si>
  <si>
    <t>EL proceso atendio las recomendaciones en la estructura del diseño del riesgo. Sin embargo, se precisa que el proceso defina controles que le permitan atacar las causas 3, 4 y 5. 
Así mismo, ampliar la descripción del análisis del riesgo para determinar el avance en el proceso con respecto a la ejecución del mismo. Determinar controles que le permita eliminar las causas raíz No 3,4 y 5. 
Se espera en el próximo seguimiento encontrar la subsanación a estas recomednaciones presentadas por la OCI.</t>
  </si>
  <si>
    <t xml:space="preserve">Falta incluir dentro de la estructura del diseño del riesgo la causa raíz, tal como lo describe la Guía de riesgos del DAFP (impacto+causa inmediata+causa raíz), de esta manera se puede definir controles efectivos que eviten que se llegue a materializar el riesgo. 
Se evidencia que el proceso ha adelantado acciones en el marco del plan de trtamiento del riesgo frente a la opción de manejo,las cuales han aportado al fortalecimiento de los controles establecidos.
Así mismo, se encuentra una mejor descripción del análisis de los riesgos, esta buena práctica debe también verse en todos los demás riesgos del proceso de Talento Humano, entre los que se encuentra la simplifiación de los riesgos, y para ellos, se rquiere analizar cadauno de estos. </t>
  </si>
  <si>
    <t xml:space="preserve">Falta incluir dentro de la estructura del diseño del riesgo el impacto, tal como lo describe la Guía de riesgos del DAFP (impacto+causa inmediata+causa raíz), así como revisar la causa raíz e inmediata, porque tal como aparece en la descripción del riesgo. Cuando un riesgo se encuentra bien identificado se definen controles que ayuden a eliminar la causa raíz y que evite que se materialice. 
Revisar los controles actuales. Así mismo,se encuentra debilidad en la definición de las acciones del plan de tratamiento del riesgo según la opción de manejo, ya que estos no deben ser iguales a los controles. Las acciones deben fortalecer el control establecido. 
Se recomienda subsanar estas observaciones para el próximo seguimiento. </t>
  </si>
  <si>
    <t>Pérdida de recursos por generar o líquidar pagos de forma inadecuada al no realizar una debida verificación de los documentos soporte</t>
  </si>
  <si>
    <t>Al revisar se continua evidenciando que aún falta que se identifique la causa raíz en la estructura del riesgo, según lo establecido en la Guía de riesgos del DAFP. Es necesario que se identifique causas que sean de compentencia del proceso y para ello es importante analizar el contexto del proceso , teniendo en cuenta herramientas comolos 5 porque's. Se debe corregir en la segunda acción del plan de tratamiento según la opción de manejo del riesgo (asumir el riesgo), la acción debe complementar el control, y el proceso no puede determinar primero ningun control para responder ante el reto de automatización del proceso y la acción no sería solicitar el desarrollo. 
Se recomienda atender estas recomendaciones para hallar o definir controles que eviten la materialización del riesgo identificado</t>
  </si>
  <si>
    <t>Al revisar se continua evidenciando que aún falta que se identifique la causa raíz en la estructura del riesgo, según lo establecido en la Guía de riesgos del DAFP. Es necesario que se identifique causas que sean de compentencia del proceso y para ello es importante analizar el contexto del proceso , teniendo en cuenta herramientas comolos 5 porque's.  Además se requiere revisar el impacto del riesgo, ya que no es solo un riesgo de imagen, sino la afectación en el presupuesto y flujo de efectivo. El proceso necesita analizar correctamente el riesgo, ya que se evidencia que no se tiene con claridad,  el impacto y tampoco la causa raíz. Es posible que este riesgo sea una causa de un riesgo mayor que aún no se ha atendido o que se podría simplificar en un riesgo ya identificado. Cuando se identifica mal un riesgo se obtienen controles ineficientes o innecesarios.
El proceso no tiene claridad entre un control y un plan de tratamiento del riesgo, no son iguales, las acciones complementan el control. 
Se recomienda atender estas recomendaciones para el próximo seguimiento</t>
  </si>
  <si>
    <t xml:space="preserve">Aún falta por incluir en la descripción del riesgo la causa raíz del riesgo. Falta establecer un control para mitigar la causa relacionada con "falta de interoperabilidad de los sistemas de información".
Aún persiste error en la formulación de las acciones de plan de tratamiento, deben ser distinto al control, cuyo objetivo es fortalecerlo.
Se espera contar con estos cambios para la siguiente medición. </t>
  </si>
  <si>
    <t xml:space="preserve">La OCI evidencia que aún el proceso no ha atendido las recomendaciones del periodo anterior. No se tiene con claridad el impacto y la causa raíz del riesgo. Es posible que se encuentren descritos varios riesgos que deben ser atendidos y analizados. Evaluar si el riesgo 5 y 6 de este proceso se pueden unificar, según su descripción el riesgo 5 puede ser una causa del riesgo 6. Se requiere que se analice y evalúe internamente con el apoyo de la Oficina Asesora de Planeación
Se recomienda en el primer control evaluar la periodicidad anual, ya que se esta mencionando el seguimiento del mantenimiento de los equipos o bienes tecnoloógicos, de manera que se pueda prevenir un posible incumplimiento y por tanto un demora en la disponibilidad de los servicios.  Conforme las causas, es importante tal como se menciona en el segundo control se estableza un control detectivo que permita advertir una posible amenaza que impacte los servicios que presta la entidad. 
De igual manera, se recomienda evaluar el plan de tratamiento del riesgo, ya que no aporta como acciones que fortalezan los controles establecidos.  Se espera que estos ajustes se puedan evidenciar en el próximo seguimiento
</t>
  </si>
  <si>
    <t>La OCI evidencia que aún el proceso no ha atendido las recomendaciones del periodo anterior. No se tiene con claridad el impacto y la causa raíz del riesgo. Es posible que se encuentren descritos varios riesgos que deben ser atendidos y analizados. Evaluar si el riesgo 5 y 6 de este proceso se pueden unificar, según su descripción el riesgo 5 puede ser una causa del riesgo 6. Se requiere que se analice y evalúe internamente con el apoyo de la Oficina Asesora de Planeación
Se recomienda en el primer control evaluar la periodicidad anual, ya que se esta mencionando el seguimiento del mantenimiento de los equipos o bienes tecnoloógicos, de manera que se pueda prevenir un posible incumplimiento y por tanto un demora en la disponibilidad de los servicios.  Conforme las causas, es importante tal como se menciona en el segundo control se estableza un control detectivo que permita advertir una posible amenaza que impacte los servicios que presta la entidad. 
De igual manera, se recomienda evaluar el plan de tratamiento del riesgo, ya que no aporta como acciones que fortalezan los controles establecidos.  Se espera que estos ajustes se puedan evidenciar en el próximo seguimiento</t>
  </si>
  <si>
    <t xml:space="preserve">Aün no se ha atendido las recomendaciones de la OCI, falta en la descripción del riesgo el impacto y la causa raíz del riesgo. Así mismo, evaluar la causa inmediata ya que aplica solamente para el manejo de los documentos a cargo del GGD y este riesgo se debe orientar al proceso, verse como proceso y no de manera funcional. 
Por otro lado, falta establecer controles que respondan a la causa "falta Infraestructura adecuada para la administración, almacenamientos, conservación y custodia de la documentación.", la cual ya se encuentra materializar e identificada en la auditoria interna de calidad 2023. Se requiere analizar, replantear y evaluar de aucerdo con lo establecido en la Guía de Administración del Riesgo del MJD 2022 y solicitar el acompañamiento de la Oficina Asesora de Planeación, según lo establecido por la Entidad. 
Se requiere establecer acciones que aporten a los controles y no deben ser iguales a estos. El plan de tratamiento debe responder a la opción de manejo que defina el proceso. Es indispensable que se revise estas recomendaciones y se puedan subsanar para el próximo seguimiento
</t>
  </si>
  <si>
    <t>Aún falta por incluir en la descripción del riesgo la causa raíz del riesgo y evaluar el impacto que puede generar la materialización del riesgo más allá de la pérdida de imagen institucional.
Revisar el control no 1 no es detectivo sino preventivo. 
Persiste la observación del plan de tratamiento mencionada en el periodo anterior y se espera la subsanación de la misma para el próximo seguimiento</t>
  </si>
  <si>
    <t xml:space="preserve">El proceso aún no ha tenido en cuenta las recomendaciones de la OCI en referencia a la estructura de la definición del riesgo. Más allá de perdida de imagen institucional el impacto que genera la materialización del riesgo para la entidad es mucho mayor. Falta identificar la causa raíz. 
Aún se presenta debilidad en la formulación de acciones del plan de tratamiento según la opción del riesgo, estas acciones son distintas a los controles o recomendaciones del control. Se requiere se ajuste el plan de tratamiento del riesgo. 
Se espera que el proceso ajuste el riesgo teniendo en cuenta estas recomendaciones
</t>
  </si>
  <si>
    <t>Se evidencia que el proceso realizó la revisión del riesgo conforme a las recomendaciones de la OCI. Sin embargo, aún presenta debilidad en la formulación de las acciones en el plan de tratamiento del riesgo. 
El proceso ha realizado un buen trabajo en la definición de controles y en el análisis de la ejecución de sus controles.
Se espera en la próxima medición se pueda apreciar los ajustes al plan de tratamiento.</t>
  </si>
  <si>
    <t>Se evidencia que el proceso realizó la revisión del riesgo conforme a las recomendaciones de la OCI. Sin embargo, aún presenta debilidad en la formulación de las acciones en el plan de tratamiento del riesgo. La acción no debe ser una actividad de desviación del control.
El proceso ha realizado un buen trabajo en la definición de controles y en el análisis de la ejecución de sus controles.
Se espera en la próxima medición se pueda apreciar los ajustes al plan de tratamiento.</t>
  </si>
  <si>
    <t>Se evidencia que el proceso realizó la revisión del riesgo conforme a las recomendaciones de la OCI. Sin embargo, aún presenta debilidad en la formulación de las acciones en el plan de tratamiento del riesgo. La acción no debe ser una actividad de desviación del control.
El proceso ha realizado un buen trabajo en la definición de controles y en el análisis de la ejecución de sus controles.
Revisar el control No 3, ya que según su descripción se trata de un riesgo de tipología preventiva y no detectiva. Solicitar el acompañamiento de la Oficina Asesora de Planeación para su revisión
Se espera en la próxima medición se pueda apreciar los ajustes al plan de tratamiento.</t>
  </si>
  <si>
    <t xml:space="preserve">
Se recomienda evaluar la simplificación de los riesgos que actualmente cuenta el proceso, ya que se identicaron 3 riesgos de imagen, de los cuales es preciso que se analice si los riesgos que actualmente estan definidos se comportan como causa o consecuencia o se pueda unificar. Para lo anterior, se recomienda tener presenta la Guía de Riesgos del DAFP y solicitar el acompañamiento de la Oficina Asesora de Planeación para que brinde la asesoría en este tema.  Recordar que la estructura del riesgo cuenta con los siguientes elementos: impacto+ causa inmediata + causa raíz. 
Una vez se analicen los riesgos con sus causas y consecuencias, que puede realizarse con herramienta como los 5 porque's, se determinen controles efectivos que eviten la materialización del riesgo y a su vez fortalezcan al proceso.
Es preciso que se revisen y actualicen los riesgos antes del siguiente periodo de seguimeinto, con el fin de evaluar la efectividad de los controles.
Por último, es importante mejorar en la redacción de la descripción del monitoreo que de cuenta de la ejecución de los controles y de las acciones planteadas en el plan de tratamiento del riesgo. </t>
  </si>
  <si>
    <t>Se evidencia la ejecución de los controles y del plan de tratamiento del riesgo, se recomienda al proceso evaluar para la próxima vigencia de acuerdo con su contexto posibles causas o controles para fortalecer la gestión del riesgo.
Se requiere incluir la causa inmediata en la estructura de la definición del riesgo</t>
  </si>
  <si>
    <t>adicion</t>
  </si>
  <si>
    <t>contrato 1</t>
  </si>
  <si>
    <t>total contrato</t>
  </si>
  <si>
    <t xml:space="preserve">Se encuentra aún que el proceso no ha atendido las recomendaciones de la OCI, aún falta incluir en la estructura del riesgo el impacto según lo define la Guía del DAFP (impacto+causa inmediata+causa raíz). 
Se requiere que el proceso determine controles de seguimiento que le permita medir que la implementación de la política responde ante las necesidades de sus grupos de valor, de manera que pueda robustecer el ejercicio de formulación hasta el seguimiento de la política pública. Revisar el plan de tratamiento del riesgo, no corresponde la acción y la periodicidad y su soporte. </t>
  </si>
  <si>
    <t>Aún se evidencia que falta incluir la causa raíz en la descripción del riesgo.
Persiste la debilidad del proceso en la formulación de acciones de mejora en su plan de tratamiento del riesgo. La cantidad de acciones lo establece el proceso, importante indicar que no necesariamente es 1 a1, lo que quiere decir, que las acciones no pueden ser iguales a los controles, deben por el contrario fortalecer al control. Se espera que para la siguiente medición se pueda evidenciar por parte del proceso la revisión y ajuste al riesgo</t>
  </si>
  <si>
    <t>Se recomienda por parte del proceso evaluar la causa raíz, ya que la pérdida del conocimiento institucional no solo es por la falta de documentar el conocimiento tácito, lo que conllevaría identificar nuevos controles que le permitan asegurar la memoria institucional, además de documentar los activos de conocimiento (tácito y explícito) tambie´n definir herramientas que le permitan conservar, difundir y compartir el conocimiento crítico o relevante de la Entidad.
Aún se presenta debilidad en la formulación de las acciones del plan de tratamiento del riesgo, ya que estos no deben ser el mismo control o una explicación de los mismos,por el contrario, su propósito es fortalecer al control.
Se espera en el próximo seguimiento encontrar los ajustes al riesgo</t>
  </si>
  <si>
    <t>EL proceso atendio las recomendaciones en la estructura del diseño del riesgo. Es importante que el proceso anualmente revise nuevamente el riesgo y detecte posibles causas que pueden llegar a originar el riesgo y de esta manera definir cntroles que le ayuden a evitar su materialización. 
Aún se presenta debilidad en la formulación de las acciones del plan de tratamiento del riesgo, ya que estos no deben ser el mismo control o una explicación de los mismos,por el contrario, su propósito es fortalecer al control, tal como se presenta en las acciones 2 y 3.
Se espera en el próximo seguimiento encontrar los ajustes al riesgo</t>
  </si>
  <si>
    <t>El riesgo es nuevo, se encuentra definiencia en la definición del mismo,así: incluir en la descripción del riesgo la causa raíz y revisar en la columna G que la causa No 2 es interno y no externo como aparece actualmente. Por otro lado, en la columna P revisar que los controles no se relacionan con las causas identificadas (puede ser un temade formulación de celdas). Ahora bien este riesgo esta muy relacionado con el riesgo de gestión del conocimiento. Se podría revisar la partinencia de unificarlo.
Según el proceso en su descripción de análisis indica que son controles nuevos y por tanto se evaluará en el 3er cuatrimestre del año,se recomienda revisar las acciones del plan de tratamiento del riesgo los cuales tienen fecha de aplicación anterior a la formulación del riesgo 1/1/2023 hasta 31/12/2023.</t>
  </si>
  <si>
    <t>Evaluar la posibilidad que este riesgo se pueda unificar con el riesgo No 4 y 18, y queden en 1 solo riesgo estratégico. En el caso que quieran mantenerlo, realizar el análisis de causas ya que falta incluir otros factores que pueden originar el riesgo y no solo la verificación de la información de la publicación de la información estadística. Revisar la formulación de la celda de la columna AIJ ya que esta no muestra el resultado de la valoración del riesgo después de controlespara que el proceso hubiese podido determinar las acciones en el plan de tratamiento del riesgo. 
Se presenta debilidad en la formulación de la acción en elplan de tratamiento del riesgo,esta deber ser distinta al control, y por el contrario su propósito es fortalecerlo.
se espera en el próximo seguimiento el proceso haya determinado estos ajustes al mismo.</t>
  </si>
  <si>
    <t>El riesgo 56 y 57 es el mismo, se pueden unificar y revisar con el riesgo No 6, determinando la causa raíz, e incluir y analizar las causas que originan el riesgo, por tanto, la posibilidad de simplificarse es alta incluyendo el riesgo 51, de esta manera se pueden definir controles que ataquen las causas del riesgo. Además de no desgastar el seguimiento y monitoreo enla formulación de riesgos innecesarios, al no realizar por parte del proceso un debido analisis de los riesgos del proceso. Se mantiene las recomendaciones que se han realizado a la gran mayoría de los procesos en cuanto la formulaicón del plan de tratamiento de los riesgo y la simplificación de los riesgos. Se espera en el próximo seguimiento encontrar la subsanaci´n a estas recomendaciones</t>
  </si>
  <si>
    <t>Revisar la posibilidad de simplificar este riesgo con los riesgos del proceso No 56 y 57, se pueden unificar y revisar con el riesgo No 6, determinando la causa raíz, e incluir y analizar las causas que originan el riesgo, por tanto, la posibilidad de simplificarse es alta incluyendo el riesgo 51, de esta manera se pueden definir controles que ataquen las causas del riesgo. Además de no desgastar el seguimiento y monitoreo enla formulación de riesgos innecesarios, al no realizar por parte del proceso un debido analisis de los riesgos del proceso. Se mantiene las recomendaciones que se han realizado a la gran mayoría de los procesos en cuanto la formulaicón del plan de tratamiento de los riesgo y la simplificación de los riesgos. Se espera en el próximo seguimiento encontrar la subsanaci´n a estas recomendaciones</t>
  </si>
  <si>
    <t>Se atendió la observación frente a la estructuración del riesgo. Se recomienda revisar el control No 4, ya que no contiene la estrucutra del control y tampoco relaciona a cual causa responde. 
Con respecto a las acciones definidas en el plan de tratamiento, revisar las acciones 1, 2 y 3 ya que estas son iguales a los controles establecidos. Las acciones son distintas a los controles, y deben aportar valor o fortalecer el control. 
Se espera que para el próximo seguimiento se pueda contar con la subsanación de estas recomendaciones.</t>
  </si>
  <si>
    <t>EL proceso atendió las recomendaciones de la OCI sobre el diseño de la descripción del riesgo y controles.
Con respecto a las acciones definidas en el plan de tratamiento, revisar las acciones 1 y 3 ya que estas son iguales a los controles establecidos. Las acciones son distintas a los controles, y deben aportar valor o fortalecer el control. 
Se espera que para el próximo seguimiento se pueda contar con la subsanación de estas recomendaciones.</t>
  </si>
  <si>
    <t>EL proceso atendió las recomendaciones de la OCI sobre el diseño de la descripción del riesgo.
Con respecto a la acción definida en el plan de tratamiento, revisar  ya que es igual a los controles, hace parte de una tarea del control.  Las acciones son distintas a los controles, y deben aportar valor o fortalecer el control. 
Se espera que para el próximo seguimiento se pueda contar con la subsanación de estas recomendaciones.</t>
  </si>
  <si>
    <t>EL proceso atendió las recomendaciones de la OCI sobre el diseño de la descripción del riesgo. Revisar que los controles se relacionen a las causas identificadas, en la matriz en la columna P las causas descritas no son las mismas que originan el riesgo (ver columna G) 
Con respecto a las acciones definida en el plan de tratamiento, revisar  ya que es igual a los controles, hace parte de una tarea del control.  Las acciones son distintas a los controles, y deben aportar valor o fortalecer el control. 
Se espera que para el próximo seguimiento se pueda contar con la subsanación de estas recomendaciones.</t>
  </si>
  <si>
    <t>EL proceso atendió las recomendaciones de la OCI sobre el diseño de la descripción del riesgo. Se requiere que el proceso realice un análisis de posibles causas que puedan llegar a originar el riesgo, de esta manera se pueden definir controles efectivos que eviten se materialice. 
Con respecto a la acción definida en el plan de tratamiento, revisar  ya que es igual a los controles, hace parte de una tarea del control.  Las acciones son distintas a los controles, y deben aportar valor o fortalecer el control. 
Se espera que para el próximo seguimiento se pueda contar con la subsanación de estas recomendaciones.</t>
  </si>
  <si>
    <t>El proceso aún no ha tenido en cuenta las recomendaciones de la OCI en referencia a la estructura de la definición del riesgo. Sin embargo, aún falta por definir controles para las causas 4 y 5 , se recomienda definir nuevos controles que atiendan las causas mencionadas.  
Persiste la debilidad en la formulación de las acciones en el plan de tratamiento, las acciones deben ser diferentes al control, tampoco debe ser una tarea que hace parte del control. Las acciones deben constituirse para fortalecer los controles. Se recomienda solicitar la asesoría a la Oficina Asesora de Planeación para su revisión.
Se espera en el próximo seguimiento la subsanación de estas recomendaciones.</t>
  </si>
  <si>
    <t>El proceso atendió las recomendaciones de la OCI frente a la estructuración del riesgo. Persiste la debilidad en la formulación de acciones que fortalezcan los controles en el plan de tratamiento del riesgo. Se recuerda que el control y la acción sn distintas, pero la acción fortalece al control. Se recomienda solicitar la asesoría a la Oficina Asesora de Planeación.
Se espera se subsane estas recomendaciones para el próximo seguimeinto</t>
  </si>
  <si>
    <t>El proceso atendió todas las recomendaciones de la OCI, se refleja la gestión del riesgo, la ejecución de sus controles y la acción en el plan de tratamiento del riesgo. Se espera que para la próxima vigencia se revise y analice el riesgo con respecto a sus causas, nuevos controles (si es necesario) y la valoración del riesgo.</t>
  </si>
  <si>
    <t>El proceso atendió todas las recomendaciones de la OCI, se refleja la gestión del riesgo, la ejecución de sus controles y la acción en el plan de tratamiento del riesgo. 
SIn embargo se recomienda que la acción en el plan de tratamiento del riesgo, se determine una periodicidad y no cuando se requiera, de forma tal, que sea de control del proceso y aporte a los controles.
Se espera que para la próxima vigencia se revise y analice el riesgo con respecto a sus causas, nuevos controles (si es necesario) y la valoración del riesgo.</t>
  </si>
  <si>
    <t>El proceso atendió las recomendaciones de la OCI con respecto a la descripción del riesgo.
SIn embargo se recomienda que la acción en el plan de tratamiento del riesgo se revise, ya que esta no debe ser igual al control o convertirse en una tarea. Se recomienda solicitar a la Oficina Asesora de Planeación acompañaiento para realizar la revisión.
Se espera que para el próximo seguimiento se subsane esta recomendación.</t>
  </si>
  <si>
    <t>Es preciso que el proceso revise la simplificación del riesgo 23 y 24 del  proceso. Posiblemente este riesgo pueda ser una causa y analizar el riesgo en el marco del cumpliiento del objetivo del proceso. Se recomienda solicitar el acompañamiento de la OFicina Asesora de Planeación para su revisión.
Se espera en el próximo seguimiento se pueda evidenciar la revisión por parte del proceso con respecto a las recomendaciones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</si>
</sst>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F800]dddd\,\ mmmm\ dd\,\ yyyy"/>
    <numFmt numFmtId="166" formatCode="_-&quot;$&quot;\ * #,##0_-;\-&quot;$&quot;\ * #,##0_-;_-&quot;$&quot;\ * &quot;-&quot;??_-;_-@_-"/>
  </numFmts>
  <fonts count="78">
    <font>
      <sz val="11"/>
      <color theme="1"/>
      <name val="Calibri"/>
      <family val="2"/>
      <scheme val="minor"/>
    </font>
    <font>
      <sz val="10"/>
      <name val="Arial"/>
      <family val="2"/>
    </font>
    <font>
      <b/>
      <sz val="11"/>
      <color theme="1"/>
      <name val="Calibri"/>
      <family val="2"/>
      <scheme val="minor"/>
    </font>
    <font>
      <sz val="11"/>
      <color indexed="8"/>
      <name val="Calibri"/>
      <family val="2"/>
    </font>
    <font>
      <b/>
      <sz val="11"/>
      <color indexed="8"/>
      <name val="Calibri"/>
      <family val="2"/>
    </font>
    <font>
      <sz val="11"/>
      <name val="Calibri"/>
      <family val="2"/>
    </font>
    <font>
      <b/>
      <sz val="10"/>
      <color indexed="8"/>
      <name val="Calibri"/>
      <family val="2"/>
    </font>
    <font>
      <sz val="11"/>
      <color indexed="9"/>
      <name val="Calibri"/>
      <family val="2"/>
    </font>
    <font>
      <sz val="10"/>
      <color indexed="8"/>
      <name val="Calibri"/>
      <family val="2"/>
    </font>
    <font>
      <sz val="8"/>
      <color indexed="8"/>
      <name val="Calibri"/>
      <family val="2"/>
    </font>
    <font>
      <sz val="10"/>
      <color theme="1"/>
      <name val="Arial"/>
      <family val="2"/>
    </font>
    <font>
      <sz val="11"/>
      <color rgb="FF000000"/>
      <name val="Calibri"/>
      <family val="2"/>
    </font>
    <font>
      <b/>
      <sz val="10"/>
      <color theme="0"/>
      <name val="Arial"/>
      <family val="2"/>
    </font>
    <font>
      <b/>
      <sz val="10"/>
      <name val="Arial"/>
      <family val="2"/>
    </font>
    <font>
      <sz val="10"/>
      <color rgb="FF003300"/>
      <name val="Arial"/>
      <family val="2"/>
    </font>
    <font>
      <sz val="12"/>
      <color theme="1"/>
      <name val="Arial"/>
      <family val="2"/>
    </font>
    <font>
      <b/>
      <sz val="12"/>
      <color theme="1"/>
      <name val="Arial"/>
      <family val="2"/>
    </font>
    <font>
      <b/>
      <sz val="9"/>
      <color indexed="81"/>
      <name val="Tahoma"/>
      <family val="2"/>
    </font>
    <font>
      <sz val="9"/>
      <color indexed="81"/>
      <name val="Tahoma"/>
      <family val="2"/>
    </font>
    <font>
      <sz val="12"/>
      <name val="Arial"/>
      <family val="2"/>
    </font>
    <font>
      <sz val="16"/>
      <color theme="1"/>
      <name val="Calibri"/>
      <family val="2"/>
      <scheme val="minor"/>
    </font>
    <font>
      <b/>
      <sz val="11"/>
      <color theme="4" tint="-0.499984740745262"/>
      <name val="Calibri"/>
      <family val="2"/>
      <scheme val="minor"/>
    </font>
    <font>
      <b/>
      <sz val="11"/>
      <color theme="7" tint="-0.499984740745262"/>
      <name val="Calibri"/>
      <family val="2"/>
      <scheme val="minor"/>
    </font>
    <font>
      <b/>
      <sz val="11"/>
      <color rgb="FF00B050"/>
      <name val="Calibri"/>
      <family val="2"/>
      <scheme val="minor"/>
    </font>
    <font>
      <b/>
      <sz val="11"/>
      <color rgb="FF7030A0"/>
      <name val="Calibri"/>
      <family val="2"/>
      <scheme val="minor"/>
    </font>
    <font>
      <b/>
      <sz val="11"/>
      <color theme="4" tint="-0.249977111117893"/>
      <name val="Calibri"/>
      <family val="2"/>
      <scheme val="minor"/>
    </font>
    <font>
      <b/>
      <sz val="11"/>
      <color theme="5" tint="-0.249977111117893"/>
      <name val="Calibri"/>
      <family val="2"/>
      <scheme val="minor"/>
    </font>
    <font>
      <i/>
      <sz val="11"/>
      <name val="Gadugi"/>
      <family val="2"/>
    </font>
    <font>
      <sz val="11"/>
      <color rgb="FF212529"/>
      <name val="Arial"/>
      <family val="2"/>
    </font>
    <font>
      <b/>
      <sz val="11"/>
      <color rgb="FF333333"/>
      <name val="Arial"/>
      <family val="2"/>
    </font>
    <font>
      <sz val="72"/>
      <color theme="1"/>
      <name val="Arial"/>
      <family val="2"/>
    </font>
    <font>
      <sz val="24"/>
      <color theme="1"/>
      <name val="Arial"/>
      <family val="2"/>
    </font>
    <font>
      <sz val="11"/>
      <color theme="1"/>
      <name val="Calibri"/>
      <family val="2"/>
      <scheme val="minor"/>
    </font>
    <font>
      <sz val="11"/>
      <color rgb="FFFF0000"/>
      <name val="Calibri"/>
      <family val="2"/>
      <scheme val="minor"/>
    </font>
    <font>
      <sz val="11"/>
      <color rgb="FF222222"/>
      <name val="Calibri"/>
      <family val="2"/>
      <scheme val="minor"/>
    </font>
    <font>
      <b/>
      <sz val="11"/>
      <color theme="0"/>
      <name val="Calibri"/>
      <family val="2"/>
      <scheme val="minor"/>
    </font>
    <font>
      <b/>
      <i/>
      <sz val="14"/>
      <color indexed="81"/>
      <name val="Tahoma"/>
      <family val="2"/>
    </font>
    <font>
      <b/>
      <sz val="10"/>
      <color theme="0"/>
      <name val="Verdana"/>
      <family val="2"/>
    </font>
    <font>
      <b/>
      <sz val="10"/>
      <color theme="1"/>
      <name val="Verdana"/>
      <family val="2"/>
    </font>
    <font>
      <sz val="10"/>
      <color theme="1"/>
      <name val="Verdana"/>
      <family val="2"/>
    </font>
    <font>
      <b/>
      <sz val="16"/>
      <color indexed="81"/>
      <name val="Tahoma"/>
      <family val="2"/>
    </font>
    <font>
      <sz val="16"/>
      <color indexed="81"/>
      <name val="Tahoma"/>
      <family val="2"/>
    </font>
    <font>
      <b/>
      <sz val="18"/>
      <color indexed="81"/>
      <name val="Tahoma"/>
      <family val="2"/>
    </font>
    <font>
      <sz val="18"/>
      <color indexed="81"/>
      <name val="Tahoma"/>
      <family val="2"/>
    </font>
    <font>
      <i/>
      <sz val="9"/>
      <color indexed="81"/>
      <name val="Tahoma"/>
      <family val="2"/>
    </font>
    <font>
      <sz val="10"/>
      <color theme="0"/>
      <name val="Arial"/>
      <family val="2"/>
    </font>
    <font>
      <sz val="11"/>
      <color theme="1"/>
      <name val="Abadi"/>
      <family val="2"/>
    </font>
    <font>
      <sz val="11"/>
      <color rgb="FF003300"/>
      <name val="Abadi"/>
      <family val="2"/>
    </font>
    <font>
      <sz val="11"/>
      <name val="Abadi"/>
      <family val="2"/>
    </font>
    <font>
      <b/>
      <sz val="11"/>
      <color theme="1"/>
      <name val="Abadi"/>
      <family val="2"/>
    </font>
    <font>
      <sz val="11"/>
      <color theme="0"/>
      <name val="Abadi"/>
      <family val="2"/>
    </font>
    <font>
      <sz val="11"/>
      <name val="Calibri"/>
      <family val="2"/>
      <scheme val="minor"/>
    </font>
    <font>
      <b/>
      <sz val="11"/>
      <color theme="0"/>
      <name val="Abadi"/>
      <family val="2"/>
    </font>
    <font>
      <b/>
      <sz val="11"/>
      <name val="Abadi"/>
      <family val="2"/>
    </font>
    <font>
      <sz val="12"/>
      <name val="Calibri"/>
      <family val="2"/>
      <scheme val="minor"/>
    </font>
    <font>
      <sz val="11"/>
      <color rgb="FF000000"/>
      <name val="Calibri"/>
      <charset val="1"/>
    </font>
    <font>
      <sz val="11"/>
      <color theme="1"/>
      <name val="Calibri"/>
      <family val="2"/>
    </font>
    <font>
      <sz val="11"/>
      <name val="Arial"/>
      <family val="2"/>
    </font>
    <font>
      <b/>
      <sz val="11"/>
      <name val="Arial"/>
      <family val="2"/>
    </font>
    <font>
      <sz val="11"/>
      <color theme="6" tint="-0.249977111117893"/>
      <name val="Abadi"/>
      <family val="2"/>
    </font>
    <font>
      <sz val="11"/>
      <color rgb="FF000000"/>
      <name val="Calibri"/>
    </font>
    <font>
      <sz val="11"/>
      <color rgb="FF000000"/>
      <name val="Abadi"/>
    </font>
    <font>
      <b/>
      <sz val="11"/>
      <color rgb="FF000000"/>
      <name val="Abadi"/>
    </font>
    <font>
      <b/>
      <sz val="11"/>
      <color theme="1"/>
      <name val="Calibri"/>
      <family val="2"/>
    </font>
    <font>
      <i/>
      <u/>
      <sz val="11"/>
      <color theme="3" tint="-0.499984740745262"/>
      <name val="Calibri"/>
      <family val="2"/>
      <scheme val="minor"/>
    </font>
    <font>
      <i/>
      <sz val="11"/>
      <color theme="1"/>
      <name val="Calibri"/>
      <family val="2"/>
      <scheme val="minor"/>
    </font>
    <font>
      <i/>
      <sz val="11"/>
      <name val="Abadi"/>
      <family val="2"/>
    </font>
    <font>
      <sz val="11"/>
      <color theme="1"/>
      <name val="Abadi"/>
    </font>
    <font>
      <strike/>
      <sz val="11"/>
      <name val="Abadi"/>
    </font>
    <font>
      <sz val="11"/>
      <name val="Abadi"/>
    </font>
    <font>
      <i/>
      <u/>
      <sz val="11"/>
      <color theme="1"/>
      <name val="Abadi"/>
    </font>
    <font>
      <i/>
      <sz val="11"/>
      <color theme="1"/>
      <name val="Abadi"/>
    </font>
    <font>
      <strike/>
      <sz val="11"/>
      <name val="Abadi"/>
      <family val="2"/>
    </font>
    <font>
      <sz val="11"/>
      <color rgb="FF000000"/>
      <name val="Calibri"/>
      <scheme val="minor"/>
    </font>
    <font>
      <b/>
      <sz val="11"/>
      <color rgb="FF000000"/>
      <name val="Calibri"/>
      <scheme val="minor"/>
    </font>
    <font>
      <sz val="11"/>
      <color rgb="FFFF0000"/>
      <name val="Abadi"/>
      <family val="2"/>
    </font>
    <font>
      <sz val="11"/>
      <color rgb="FF000000"/>
      <name val="Arial"/>
      <family val="2"/>
    </font>
    <font>
      <sz val="11"/>
      <color theme="1"/>
      <name val="Arial"/>
      <family val="2"/>
    </font>
  </fonts>
  <fills count="30">
    <fill>
      <patternFill patternType="none"/>
    </fill>
    <fill>
      <patternFill patternType="gray125"/>
    </fill>
    <fill>
      <patternFill patternType="solid">
        <fgColor theme="9" tint="0.59999389629810485"/>
        <bgColor indexed="31"/>
      </patternFill>
    </fill>
    <fill>
      <patternFill patternType="solid">
        <fgColor indexed="57"/>
        <bgColor indexed="21"/>
      </patternFill>
    </fill>
    <fill>
      <patternFill patternType="solid">
        <fgColor indexed="13"/>
        <bgColor indexed="34"/>
      </patternFill>
    </fill>
    <fill>
      <patternFill patternType="solid">
        <fgColor indexed="52"/>
        <bgColor indexed="51"/>
      </patternFill>
    </fill>
    <fill>
      <patternFill patternType="solid">
        <fgColor indexed="10"/>
        <bgColor indexed="16"/>
      </patternFill>
    </fill>
    <fill>
      <patternFill patternType="solid">
        <fgColor indexed="53"/>
        <bgColor indexed="52"/>
      </patternFill>
    </fill>
    <fill>
      <patternFill patternType="solid">
        <fgColor theme="6" tint="0.79998168889431442"/>
        <bgColor indexed="64"/>
      </patternFill>
    </fill>
    <fill>
      <patternFill patternType="solid">
        <fgColor theme="0"/>
        <bgColor theme="0"/>
      </patternFill>
    </fill>
    <fill>
      <patternFill patternType="solid">
        <fgColor theme="0"/>
        <bgColor indexed="64"/>
      </patternFill>
    </fill>
    <fill>
      <patternFill patternType="solid">
        <fgColor theme="9" tint="0.59999389629810485"/>
        <bgColor indexed="64"/>
      </patternFill>
    </fill>
    <fill>
      <patternFill patternType="solid">
        <fgColor theme="0"/>
        <bgColor indexed="31"/>
      </patternFill>
    </fill>
    <fill>
      <patternFill patternType="solid">
        <fgColor rgb="FF3366CC"/>
        <bgColor indexed="64"/>
      </patternFill>
    </fill>
    <fill>
      <patternFill patternType="solid">
        <fgColor rgb="FFE2ECFD"/>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0070C0"/>
        <bgColor indexed="64"/>
      </patternFill>
    </fill>
    <fill>
      <patternFill patternType="solid">
        <fgColor rgb="FF92D050"/>
        <bgColor indexed="64"/>
      </patternFill>
    </fill>
    <fill>
      <patternFill patternType="solid">
        <fgColor rgb="FFFFC000"/>
        <bgColor indexed="64"/>
      </patternFill>
    </fill>
    <fill>
      <patternFill patternType="solid">
        <fgColor theme="6" tint="0.59999389629810485"/>
        <bgColor indexed="64"/>
      </patternFill>
    </fill>
    <fill>
      <patternFill patternType="solid">
        <fgColor rgb="FFFF0000"/>
        <bgColor indexed="64"/>
      </patternFill>
    </fill>
    <fill>
      <patternFill patternType="solid">
        <fgColor theme="4"/>
        <bgColor indexed="64"/>
      </patternFill>
    </fill>
  </fills>
  <borders count="96">
    <border>
      <left/>
      <right/>
      <top/>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ck">
        <color theme="0" tint="-0.499984740745262"/>
      </left>
      <right/>
      <top style="thick">
        <color theme="0" tint="-0.499984740745262"/>
      </top>
      <bottom/>
      <diagonal/>
    </border>
    <border>
      <left/>
      <right/>
      <top style="thick">
        <color theme="0" tint="-0.499984740745262"/>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ck">
        <color theme="0" tint="-0.499984740745262"/>
      </left>
      <right/>
      <top/>
      <bottom/>
      <diagonal/>
    </border>
    <border>
      <left style="thick">
        <color theme="0" tint="-0.499984740745262"/>
      </left>
      <right/>
      <top/>
      <bottom style="thin">
        <color theme="0" tint="-0.499984740745262"/>
      </bottom>
      <diagonal/>
    </border>
    <border>
      <left/>
      <right/>
      <top/>
      <bottom style="thin">
        <color theme="0" tint="-0.499984740745262"/>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top/>
      <bottom style="thin">
        <color rgb="FF7F7F7F"/>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rgb="FFDEE2E6"/>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rgb="FF7F7F7F"/>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rgb="FF7F7F7F"/>
      </top>
      <bottom style="thin">
        <color rgb="FF7F7F7F"/>
      </bottom>
      <diagonal/>
    </border>
    <border>
      <left style="thin">
        <color indexed="64"/>
      </left>
      <right style="thin">
        <color indexed="64"/>
      </right>
      <top style="thin">
        <color rgb="FF7F7F7F"/>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style="thin">
        <color auto="1"/>
      </right>
      <top style="thin">
        <color auto="1"/>
      </top>
      <bottom style="thin">
        <color auto="1"/>
      </bottom>
      <diagonal/>
    </border>
    <border>
      <left style="thin">
        <color indexed="9"/>
      </left>
      <right/>
      <top style="thin">
        <color indexed="9"/>
      </top>
      <bottom style="thin">
        <color indexed="9"/>
      </bottom>
      <diagonal/>
    </border>
    <border>
      <left style="thin">
        <color indexed="8"/>
      </left>
      <right style="thin">
        <color indexed="8"/>
      </right>
      <top style="thin">
        <color indexed="8"/>
      </top>
      <bottom style="thin">
        <color indexed="8"/>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8">
    <xf numFmtId="0" fontId="0" fillId="0" borderId="0"/>
    <xf numFmtId="0" fontId="1" fillId="0" borderId="0"/>
    <xf numFmtId="0" fontId="1" fillId="0" borderId="0"/>
    <xf numFmtId="0" fontId="3" fillId="0" borderId="0"/>
    <xf numFmtId="0" fontId="11" fillId="0" borderId="0"/>
    <xf numFmtId="9" fontId="32" fillId="0" borderId="0" applyFont="0" applyFill="0" applyBorder="0" applyAlignment="0" applyProtection="0"/>
    <xf numFmtId="0" fontId="1" fillId="0" borderId="0"/>
    <xf numFmtId="44" fontId="32" fillId="0" borderId="0" applyFont="0" applyFill="0" applyBorder="0" applyAlignment="0" applyProtection="0"/>
  </cellStyleXfs>
  <cellXfs count="887">
    <xf numFmtId="0" fontId="0" fillId="0" borderId="0" xfId="0"/>
    <xf numFmtId="0" fontId="3" fillId="0" borderId="0" xfId="3"/>
    <xf numFmtId="0" fontId="5" fillId="0" borderId="0" xfId="3" applyFont="1"/>
    <xf numFmtId="0" fontId="7" fillId="0" borderId="0" xfId="3" applyFont="1"/>
    <xf numFmtId="0" fontId="3" fillId="0" borderId="1" xfId="3" applyBorder="1" applyAlignment="1">
      <alignment horizontal="center" vertical="center"/>
    </xf>
    <xf numFmtId="0" fontId="3" fillId="0" borderId="2" xfId="3" applyBorder="1" applyAlignment="1">
      <alignment horizontal="center" vertical="center"/>
    </xf>
    <xf numFmtId="0" fontId="3" fillId="0" borderId="2" xfId="3" applyBorder="1"/>
    <xf numFmtId="0" fontId="3" fillId="0" borderId="1" xfId="3" applyBorder="1"/>
    <xf numFmtId="0" fontId="8" fillId="0" borderId="0" xfId="3" applyFont="1"/>
    <xf numFmtId="0" fontId="3" fillId="0" borderId="0" xfId="3" applyAlignment="1">
      <alignment horizontal="center" vertical="center"/>
    </xf>
    <xf numFmtId="0" fontId="2" fillId="0" borderId="0" xfId="0" applyFont="1"/>
    <xf numFmtId="0" fontId="3" fillId="0" borderId="0" xfId="3" applyAlignment="1">
      <alignment vertical="center"/>
    </xf>
    <xf numFmtId="0" fontId="6" fillId="0" borderId="0" xfId="3" applyFont="1" applyAlignment="1">
      <alignment horizontal="center" vertical="center" wrapText="1"/>
    </xf>
    <xf numFmtId="0" fontId="4" fillId="12" borderId="0" xfId="3" applyFont="1" applyFill="1" applyAlignment="1">
      <alignment horizontal="center" vertical="center"/>
    </xf>
    <xf numFmtId="0" fontId="10" fillId="16" borderId="0" xfId="0" applyFont="1" applyFill="1" applyAlignment="1">
      <alignment vertical="center" wrapText="1"/>
    </xf>
    <xf numFmtId="0" fontId="1" fillId="0" borderId="0" xfId="0" applyFont="1"/>
    <xf numFmtId="0" fontId="13" fillId="14" borderId="10" xfId="0" applyFont="1" applyFill="1" applyBorder="1" applyAlignment="1">
      <alignment horizontal="center" vertical="center" wrapText="1"/>
    </xf>
    <xf numFmtId="0" fontId="13" fillId="14" borderId="11" xfId="0" applyFont="1" applyFill="1" applyBorder="1" applyAlignment="1">
      <alignment horizontal="center" vertical="center" wrapText="1"/>
    </xf>
    <xf numFmtId="0" fontId="1" fillId="9" borderId="4" xfId="0" applyFont="1" applyFill="1" applyBorder="1" applyAlignment="1" applyProtection="1">
      <alignment vertical="center" wrapText="1"/>
      <protection locked="0"/>
    </xf>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wrapText="1"/>
    </xf>
    <xf numFmtId="0" fontId="13" fillId="10" borderId="12" xfId="0" applyFont="1" applyFill="1" applyBorder="1" applyAlignment="1">
      <alignment horizontal="center" vertical="center" wrapText="1"/>
    </xf>
    <xf numFmtId="0" fontId="15" fillId="16" borderId="0" xfId="0" applyFont="1" applyFill="1" applyAlignment="1">
      <alignment vertical="center" wrapText="1"/>
    </xf>
    <xf numFmtId="0" fontId="0" fillId="0" borderId="0" xfId="0" applyAlignment="1">
      <alignment wrapText="1"/>
    </xf>
    <xf numFmtId="0" fontId="0" fillId="0" borderId="0" xfId="0" applyAlignment="1">
      <alignment horizontal="center" wrapText="1"/>
    </xf>
    <xf numFmtId="0" fontId="20" fillId="0" borderId="0" xfId="0" applyFont="1"/>
    <xf numFmtId="0" fontId="20" fillId="0" borderId="0" xfId="0" applyFont="1" applyAlignment="1">
      <alignment wrapText="1"/>
    </xf>
    <xf numFmtId="0" fontId="1" fillId="0" borderId="18" xfId="0" applyFont="1" applyBorder="1" applyAlignment="1">
      <alignment horizontal="center" vertical="center" wrapText="1"/>
    </xf>
    <xf numFmtId="0" fontId="19" fillId="9" borderId="16" xfId="0" applyFont="1" applyFill="1" applyBorder="1" applyAlignment="1" applyProtection="1">
      <alignment vertical="center" wrapText="1"/>
      <protection locked="0"/>
    </xf>
    <xf numFmtId="0" fontId="19" fillId="9" borderId="8" xfId="0" applyFont="1" applyFill="1" applyBorder="1" applyAlignment="1" applyProtection="1">
      <alignment vertical="center" wrapText="1"/>
      <protection locked="0"/>
    </xf>
    <xf numFmtId="0" fontId="2" fillId="0" borderId="5" xfId="0" applyFont="1" applyBorder="1"/>
    <xf numFmtId="0" fontId="2" fillId="0" borderId="4" xfId="0" applyFont="1" applyBorder="1"/>
    <xf numFmtId="0" fontId="2" fillId="0" borderId="6" xfId="0" applyFont="1" applyBorder="1"/>
    <xf numFmtId="0" fontId="21" fillId="0" borderId="33" xfId="0" applyFont="1" applyBorder="1"/>
    <xf numFmtId="0" fontId="22" fillId="0" borderId="33" xfId="0" applyFont="1" applyBorder="1" applyAlignment="1">
      <alignment wrapText="1"/>
    </xf>
    <xf numFmtId="0" fontId="22" fillId="0" borderId="3" xfId="0" applyFont="1" applyBorder="1" applyAlignment="1">
      <alignment wrapText="1"/>
    </xf>
    <xf numFmtId="0" fontId="23" fillId="0" borderId="33" xfId="0" applyFont="1" applyBorder="1"/>
    <xf numFmtId="0" fontId="23" fillId="0" borderId="3" xfId="0" applyFont="1" applyBorder="1" applyAlignment="1">
      <alignment wrapText="1"/>
    </xf>
    <xf numFmtId="0" fontId="24" fillId="0" borderId="33" xfId="0" applyFont="1" applyBorder="1" applyAlignment="1">
      <alignment wrapText="1"/>
    </xf>
    <xf numFmtId="0" fontId="24" fillId="0" borderId="3" xfId="0" applyFont="1" applyBorder="1" applyAlignment="1">
      <alignment wrapText="1"/>
    </xf>
    <xf numFmtId="0" fontId="25" fillId="0" borderId="33" xfId="0" applyFont="1" applyBorder="1" applyAlignment="1">
      <alignment wrapText="1"/>
    </xf>
    <xf numFmtId="0" fontId="25" fillId="0" borderId="3" xfId="0" applyFont="1" applyBorder="1" applyAlignment="1">
      <alignment wrapText="1"/>
    </xf>
    <xf numFmtId="0" fontId="26" fillId="0" borderId="33" xfId="0" applyFont="1" applyBorder="1" applyAlignment="1">
      <alignment wrapText="1"/>
    </xf>
    <xf numFmtId="0" fontId="26" fillId="0" borderId="3" xfId="0" applyFont="1" applyBorder="1" applyAlignment="1">
      <alignment wrapText="1"/>
    </xf>
    <xf numFmtId="0" fontId="0" fillId="0" borderId="33" xfId="0" applyBorder="1" applyAlignment="1">
      <alignment wrapText="1"/>
    </xf>
    <xf numFmtId="0" fontId="0" fillId="0" borderId="3" xfId="0" applyBorder="1"/>
    <xf numFmtId="0" fontId="0" fillId="0" borderId="7" xfId="0" applyBorder="1" applyAlignment="1">
      <alignment wrapText="1"/>
    </xf>
    <xf numFmtId="0" fontId="0" fillId="0" borderId="8" xfId="0" applyBorder="1" applyAlignment="1">
      <alignment wrapText="1"/>
    </xf>
    <xf numFmtId="0" fontId="0" fillId="0" borderId="9" xfId="0" applyBorder="1"/>
    <xf numFmtId="0" fontId="0" fillId="20" borderId="0" xfId="0" applyFill="1"/>
    <xf numFmtId="0" fontId="29" fillId="20" borderId="39" xfId="0" applyFont="1" applyFill="1" applyBorder="1" applyAlignment="1">
      <alignment vertical="center" wrapText="1"/>
    </xf>
    <xf numFmtId="0" fontId="14" fillId="0" borderId="32" xfId="0" applyFont="1" applyBorder="1" applyAlignment="1" applyProtection="1">
      <alignment horizontal="justify" vertical="center" wrapText="1"/>
      <protection locked="0"/>
    </xf>
    <xf numFmtId="0" fontId="13" fillId="14" borderId="16" xfId="0" applyFont="1" applyFill="1" applyBorder="1" applyAlignment="1">
      <alignment horizontal="center" vertical="center" wrapText="1"/>
    </xf>
    <xf numFmtId="0" fontId="33" fillId="21" borderId="0" xfId="0" applyFont="1" applyFill="1"/>
    <xf numFmtId="0" fontId="0" fillId="14" borderId="0" xfId="0" applyFill="1"/>
    <xf numFmtId="0" fontId="10" fillId="0" borderId="12" xfId="0" applyFont="1" applyBorder="1" applyAlignment="1" applyProtection="1">
      <alignment vertical="center" wrapText="1"/>
      <protection locked="0"/>
    </xf>
    <xf numFmtId="0" fontId="10" fillId="0" borderId="8" xfId="0" applyFont="1" applyBorder="1" applyAlignment="1" applyProtection="1">
      <alignment vertical="center" wrapText="1"/>
      <protection locked="0"/>
    </xf>
    <xf numFmtId="0" fontId="13" fillId="14" borderId="30" xfId="0" applyFont="1" applyFill="1" applyBorder="1" applyAlignment="1">
      <alignment horizontal="center" vertical="center" wrapText="1"/>
    </xf>
    <xf numFmtId="0" fontId="19" fillId="9" borderId="12" xfId="0" applyFont="1" applyFill="1" applyBorder="1" applyAlignment="1" applyProtection="1">
      <alignment vertical="center" wrapText="1"/>
      <protection locked="0"/>
    </xf>
    <xf numFmtId="0" fontId="1" fillId="9" borderId="12" xfId="0" applyFont="1" applyFill="1" applyBorder="1" applyAlignment="1" applyProtection="1">
      <alignment vertical="center" wrapText="1"/>
      <protection locked="0"/>
    </xf>
    <xf numFmtId="0" fontId="1" fillId="0" borderId="12" xfId="0" applyFont="1" applyBorder="1" applyProtection="1">
      <protection locked="0"/>
    </xf>
    <xf numFmtId="0" fontId="13" fillId="8" borderId="16" xfId="0" applyFont="1" applyFill="1" applyBorder="1" applyAlignment="1">
      <alignment vertical="center" wrapText="1"/>
    </xf>
    <xf numFmtId="0" fontId="14" fillId="0" borderId="42" xfId="0" applyFont="1" applyBorder="1" applyAlignment="1" applyProtection="1">
      <alignment horizontal="justify" vertical="center" wrapText="1"/>
      <protection locked="0"/>
    </xf>
    <xf numFmtId="0" fontId="14" fillId="0" borderId="4" xfId="0" applyFont="1" applyBorder="1" applyAlignment="1" applyProtection="1">
      <alignment horizontal="justify" vertical="center" wrapText="1"/>
      <protection locked="0"/>
    </xf>
    <xf numFmtId="0" fontId="1" fillId="0" borderId="4" xfId="0" applyFont="1" applyBorder="1" applyAlignment="1" applyProtection="1">
      <alignment vertical="center" wrapText="1"/>
      <protection locked="0"/>
    </xf>
    <xf numFmtId="0" fontId="1" fillId="0" borderId="4" xfId="0" applyFont="1" applyBorder="1" applyAlignment="1" applyProtection="1">
      <alignment horizontal="center" vertical="center" wrapText="1"/>
      <protection locked="0"/>
    </xf>
    <xf numFmtId="0" fontId="1" fillId="0" borderId="43" xfId="0" applyFont="1" applyBorder="1" applyAlignment="1">
      <alignment horizontal="center" vertical="center" wrapText="1"/>
    </xf>
    <xf numFmtId="0" fontId="13" fillId="8" borderId="25" xfId="0" applyFont="1" applyFill="1" applyBorder="1" applyAlignment="1">
      <alignment vertical="center" wrapText="1"/>
    </xf>
    <xf numFmtId="0" fontId="10" fillId="0" borderId="46" xfId="0" applyFont="1" applyBorder="1" applyAlignment="1" applyProtection="1">
      <alignment vertical="center" wrapText="1"/>
      <protection locked="0"/>
    </xf>
    <xf numFmtId="0" fontId="1" fillId="9" borderId="8" xfId="0" applyFont="1" applyFill="1" applyBorder="1" applyAlignment="1" applyProtection="1">
      <alignment vertical="center" wrapText="1"/>
      <protection locked="0"/>
    </xf>
    <xf numFmtId="0" fontId="14" fillId="0" borderId="8" xfId="0" applyFont="1" applyBorder="1" applyAlignment="1" applyProtection="1">
      <alignment horizontal="justify" vertical="center" wrapText="1"/>
      <protection locked="0"/>
    </xf>
    <xf numFmtId="0" fontId="1" fillId="0" borderId="8" xfId="0" applyFont="1" applyBorder="1" applyAlignment="1" applyProtection="1">
      <alignment vertical="center" wrapText="1"/>
      <protection locked="0"/>
    </xf>
    <xf numFmtId="0" fontId="1" fillId="0" borderId="8" xfId="0" applyFont="1" applyBorder="1" applyAlignment="1" applyProtection="1">
      <alignment horizontal="center" vertical="center" wrapText="1"/>
      <protection locked="0"/>
    </xf>
    <xf numFmtId="0" fontId="1" fillId="0" borderId="24" xfId="0" applyFont="1" applyBorder="1" applyAlignment="1">
      <alignment horizontal="center" vertical="center" wrapText="1"/>
    </xf>
    <xf numFmtId="0" fontId="13" fillId="8" borderId="8" xfId="0" applyFont="1" applyFill="1" applyBorder="1" applyAlignment="1">
      <alignment vertical="center" wrapText="1"/>
    </xf>
    <xf numFmtId="0" fontId="14" fillId="0" borderId="49" xfId="0" applyFont="1" applyBorder="1" applyAlignment="1" applyProtection="1">
      <alignment horizontal="justify" vertical="center" wrapText="1"/>
      <protection locked="0"/>
    </xf>
    <xf numFmtId="0" fontId="14" fillId="0" borderId="50" xfId="0" applyFont="1" applyBorder="1" applyAlignment="1" applyProtection="1">
      <alignment horizontal="justify" vertical="center" wrapText="1"/>
      <protection locked="0"/>
    </xf>
    <xf numFmtId="0" fontId="0" fillId="0" borderId="0" xfId="0" applyAlignment="1">
      <alignment vertical="center"/>
    </xf>
    <xf numFmtId="0" fontId="2" fillId="0" borderId="0" xfId="0" applyFont="1" applyAlignment="1">
      <alignment vertical="center"/>
    </xf>
    <xf numFmtId="0" fontId="34" fillId="0" borderId="0" xfId="0" applyFont="1"/>
    <xf numFmtId="0" fontId="13" fillId="8" borderId="48" xfId="0" applyFont="1" applyFill="1" applyBorder="1" applyAlignment="1">
      <alignment horizontal="center" vertical="center" wrapText="1"/>
    </xf>
    <xf numFmtId="0" fontId="13" fillId="10" borderId="53" xfId="0" applyFont="1" applyFill="1" applyBorder="1" applyAlignment="1">
      <alignment horizontal="center" vertical="center" wrapText="1"/>
    </xf>
    <xf numFmtId="0" fontId="0" fillId="0" borderId="51" xfId="0" applyBorder="1"/>
    <xf numFmtId="1" fontId="0" fillId="0" borderId="0" xfId="0" applyNumberFormat="1"/>
    <xf numFmtId="0" fontId="0" fillId="0" borderId="0" xfId="5" applyNumberFormat="1" applyFont="1"/>
    <xf numFmtId="0" fontId="38" fillId="23" borderId="9" xfId="0" applyFont="1" applyFill="1" applyBorder="1" applyAlignment="1" applyProtection="1">
      <alignment horizontal="center"/>
      <protection hidden="1"/>
    </xf>
    <xf numFmtId="0" fontId="39" fillId="0" borderId="58" xfId="0" applyFont="1" applyBorder="1" applyAlignment="1" applyProtection="1">
      <alignment horizontal="center" vertical="center"/>
      <protection hidden="1"/>
    </xf>
    <xf numFmtId="0" fontId="39" fillId="0" borderId="0" xfId="0" applyFont="1" applyAlignment="1" applyProtection="1">
      <alignment horizontal="center" vertical="center"/>
      <protection hidden="1"/>
    </xf>
    <xf numFmtId="0" fontId="39" fillId="0" borderId="12" xfId="0" applyFont="1" applyBorder="1" applyAlignment="1" applyProtection="1">
      <alignment horizontal="center" vertical="center" wrapText="1"/>
      <protection hidden="1"/>
    </xf>
    <xf numFmtId="0" fontId="39" fillId="0" borderId="59" xfId="0" applyFont="1" applyBorder="1" applyAlignment="1" applyProtection="1">
      <alignment horizontal="center" vertical="center" wrapText="1"/>
      <protection hidden="1"/>
    </xf>
    <xf numFmtId="0" fontId="39" fillId="0" borderId="33" xfId="0" applyFont="1" applyBorder="1" applyAlignment="1" applyProtection="1">
      <alignment horizontal="center" vertical="center"/>
      <protection hidden="1"/>
    </xf>
    <xf numFmtId="0" fontId="39" fillId="0" borderId="3" xfId="0" applyFont="1" applyBorder="1" applyAlignment="1" applyProtection="1">
      <alignment horizontal="center" vertical="center" wrapText="1"/>
      <protection hidden="1"/>
    </xf>
    <xf numFmtId="0" fontId="39" fillId="0" borderId="7" xfId="0" applyFont="1" applyBorder="1" applyAlignment="1" applyProtection="1">
      <alignment horizontal="center" vertical="center"/>
      <protection hidden="1"/>
    </xf>
    <xf numFmtId="0" fontId="39" fillId="0" borderId="8" xfId="0" applyFont="1" applyBorder="1" applyAlignment="1" applyProtection="1">
      <alignment horizontal="center" vertical="center"/>
      <protection hidden="1"/>
    </xf>
    <xf numFmtId="0" fontId="39" fillId="0" borderId="8" xfId="0" applyFont="1" applyBorder="1" applyAlignment="1" applyProtection="1">
      <alignment horizontal="center" vertical="center" wrapText="1"/>
      <protection hidden="1"/>
    </xf>
    <xf numFmtId="0" fontId="39" fillId="0" borderId="9" xfId="0" applyFont="1" applyBorder="1" applyAlignment="1" applyProtection="1">
      <alignment horizontal="center" vertical="center" wrapText="1"/>
      <protection hidden="1"/>
    </xf>
    <xf numFmtId="0" fontId="1" fillId="0" borderId="41" xfId="0" applyFont="1" applyBorder="1" applyAlignment="1" applyProtection="1">
      <alignment horizontal="center" vertical="center" wrapText="1"/>
      <protection locked="0"/>
    </xf>
    <xf numFmtId="0" fontId="1" fillId="0" borderId="43"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51"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52"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0" fillId="0" borderId="0" xfId="0" applyAlignment="1" applyProtection="1">
      <alignment wrapText="1"/>
      <protection locked="0"/>
    </xf>
    <xf numFmtId="0" fontId="10" fillId="0" borderId="4" xfId="0" applyFont="1" applyBorder="1" applyAlignment="1" applyProtection="1">
      <alignment vertical="center" wrapText="1"/>
      <protection locked="0"/>
    </xf>
    <xf numFmtId="0" fontId="14" fillId="0" borderId="0" xfId="0" applyFont="1" applyAlignment="1" applyProtection="1">
      <alignment horizontal="justify" vertical="center" wrapText="1"/>
      <protection locked="0"/>
    </xf>
    <xf numFmtId="0" fontId="10" fillId="0" borderId="60" xfId="0" applyFont="1" applyBorder="1" applyAlignment="1" applyProtection="1">
      <alignment vertical="center" wrapText="1"/>
      <protection locked="0"/>
    </xf>
    <xf numFmtId="0" fontId="1" fillId="10" borderId="12" xfId="0" applyFont="1" applyFill="1" applyBorder="1" applyAlignment="1" applyProtection="1">
      <alignment vertical="center" wrapText="1"/>
      <protection locked="0"/>
    </xf>
    <xf numFmtId="0" fontId="19" fillId="9" borderId="4" xfId="0" applyFont="1" applyFill="1" applyBorder="1" applyAlignment="1" applyProtection="1">
      <alignment vertical="center" wrapText="1"/>
      <protection locked="0"/>
    </xf>
    <xf numFmtId="0" fontId="20" fillId="25" borderId="0" xfId="0" applyFont="1" applyFill="1" applyAlignment="1">
      <alignment wrapText="1"/>
    </xf>
    <xf numFmtId="0" fontId="13" fillId="8" borderId="12" xfId="0" applyFont="1" applyFill="1" applyBorder="1" applyAlignment="1">
      <alignment horizontal="center" vertical="center" wrapText="1"/>
    </xf>
    <xf numFmtId="0" fontId="1" fillId="9" borderId="12" xfId="0" applyFont="1" applyFill="1" applyBorder="1" applyAlignment="1" applyProtection="1">
      <alignment horizontal="justify" vertical="center" wrapText="1"/>
      <protection locked="0"/>
    </xf>
    <xf numFmtId="0" fontId="1" fillId="9" borderId="8" xfId="0" applyFont="1" applyFill="1" applyBorder="1" applyAlignment="1" applyProtection="1">
      <alignment horizontal="justify" vertical="center" wrapText="1"/>
      <protection locked="0"/>
    </xf>
    <xf numFmtId="0" fontId="1" fillId="9" borderId="4" xfId="0" applyFont="1" applyFill="1" applyBorder="1" applyAlignment="1" applyProtection="1">
      <alignment horizontal="justify" vertical="center" wrapText="1"/>
      <protection locked="0"/>
    </xf>
    <xf numFmtId="0" fontId="1" fillId="0" borderId="12" xfId="0" applyFont="1" applyBorder="1" applyAlignment="1" applyProtection="1">
      <alignment horizontal="center" vertical="center" wrapText="1"/>
      <protection locked="0"/>
    </xf>
    <xf numFmtId="0" fontId="1" fillId="9" borderId="16" xfId="0" applyFont="1" applyFill="1" applyBorder="1" applyAlignment="1" applyProtection="1">
      <alignment horizontal="justify" vertical="center" wrapText="1"/>
      <protection locked="0"/>
    </xf>
    <xf numFmtId="0" fontId="13" fillId="8" borderId="11"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38" fillId="23" borderId="8" xfId="0" applyFont="1" applyFill="1" applyBorder="1" applyAlignment="1" applyProtection="1">
      <alignment horizontal="center"/>
      <protection hidden="1"/>
    </xf>
    <xf numFmtId="0" fontId="20" fillId="0" borderId="61" xfId="0" applyFont="1" applyBorder="1"/>
    <xf numFmtId="0" fontId="20" fillId="25" borderId="61" xfId="0" applyFont="1" applyFill="1" applyBorder="1" applyAlignment="1">
      <alignment wrapText="1"/>
    </xf>
    <xf numFmtId="0" fontId="20" fillId="0" borderId="61" xfId="0" applyFont="1" applyBorder="1" applyAlignment="1">
      <alignment wrapText="1"/>
    </xf>
    <xf numFmtId="0" fontId="20" fillId="24" borderId="61" xfId="0" applyFont="1" applyFill="1" applyBorder="1" applyAlignment="1">
      <alignment wrapText="1"/>
    </xf>
    <xf numFmtId="0" fontId="3" fillId="0" borderId="62" xfId="3" applyBorder="1"/>
    <xf numFmtId="0" fontId="8" fillId="6" borderId="63" xfId="3" applyFont="1" applyFill="1" applyBorder="1" applyAlignment="1">
      <alignment horizontal="center" vertical="center"/>
    </xf>
    <xf numFmtId="0" fontId="6" fillId="0" borderId="64" xfId="3" applyFont="1" applyBorder="1"/>
    <xf numFmtId="0" fontId="6" fillId="0" borderId="62" xfId="3" applyFont="1" applyBorder="1"/>
    <xf numFmtId="0" fontId="8" fillId="7" borderId="63" xfId="3" applyFont="1" applyFill="1" applyBorder="1" applyAlignment="1">
      <alignment horizontal="center" vertical="center"/>
    </xf>
    <xf numFmtId="0" fontId="8" fillId="4" borderId="63" xfId="3" applyFont="1" applyFill="1" applyBorder="1" applyAlignment="1">
      <alignment horizontal="center" vertical="center"/>
    </xf>
    <xf numFmtId="0" fontId="8" fillId="0" borderId="65" xfId="3" applyFont="1" applyBorder="1"/>
    <xf numFmtId="0" fontId="8" fillId="3" borderId="63" xfId="3" applyFont="1" applyFill="1" applyBorder="1" applyAlignment="1">
      <alignment horizontal="center" vertical="center"/>
    </xf>
    <xf numFmtId="0" fontId="3" fillId="0" borderId="66" xfId="3" applyBorder="1"/>
    <xf numFmtId="0" fontId="3" fillId="0" borderId="66" xfId="3" applyBorder="1" applyAlignment="1">
      <alignment horizontal="center" vertical="center"/>
    </xf>
    <xf numFmtId="0" fontId="12" fillId="13" borderId="70" xfId="0" applyFont="1" applyFill="1" applyBorder="1" applyAlignment="1">
      <alignment horizontal="center" vertical="center" wrapText="1"/>
    </xf>
    <xf numFmtId="0" fontId="13" fillId="14" borderId="67" xfId="0" applyFont="1" applyFill="1" applyBorder="1" applyAlignment="1">
      <alignment horizontal="center" vertical="center" textRotation="90" wrapText="1"/>
    </xf>
    <xf numFmtId="0" fontId="13" fillId="14" borderId="67" xfId="0" applyFont="1" applyFill="1" applyBorder="1" applyAlignment="1">
      <alignment horizontal="center" vertical="center" wrapText="1"/>
    </xf>
    <xf numFmtId="0" fontId="46" fillId="0" borderId="67" xfId="0" applyFont="1" applyBorder="1" applyAlignment="1" applyProtection="1">
      <alignment vertical="center" wrapText="1"/>
      <protection locked="0"/>
    </xf>
    <xf numFmtId="0" fontId="47" fillId="0" borderId="67" xfId="0" applyFont="1" applyBorder="1" applyAlignment="1" applyProtection="1">
      <alignment horizontal="justify" vertical="center"/>
      <protection locked="0"/>
    </xf>
    <xf numFmtId="0" fontId="48" fillId="0" borderId="67" xfId="0" applyFont="1" applyBorder="1" applyAlignment="1" applyProtection="1">
      <alignment vertical="center" wrapText="1"/>
      <protection locked="0"/>
    </xf>
    <xf numFmtId="0" fontId="1" fillId="0" borderId="67" xfId="0" applyFont="1" applyBorder="1" applyAlignment="1" applyProtection="1">
      <alignment horizontal="center" vertical="center" wrapText="1"/>
      <protection locked="0"/>
    </xf>
    <xf numFmtId="0" fontId="13" fillId="10" borderId="67" xfId="0" applyFont="1" applyFill="1" applyBorder="1" applyAlignment="1" applyProtection="1">
      <alignment horizontal="center" vertical="center" wrapText="1"/>
      <protection locked="0"/>
    </xf>
    <xf numFmtId="0" fontId="13" fillId="8" borderId="73" xfId="0" applyFont="1" applyFill="1" applyBorder="1" applyAlignment="1">
      <alignment vertical="center" wrapText="1"/>
    </xf>
    <xf numFmtId="0" fontId="1" fillId="0" borderId="67" xfId="0" applyFont="1" applyBorder="1" applyAlignment="1" applyProtection="1">
      <alignment vertical="center" wrapText="1"/>
      <protection locked="0"/>
    </xf>
    <xf numFmtId="0" fontId="46" fillId="0" borderId="67" xfId="0" applyFont="1" applyBorder="1" applyAlignment="1" applyProtection="1">
      <alignment horizontal="left" vertical="center" wrapText="1"/>
      <protection locked="0"/>
    </xf>
    <xf numFmtId="0" fontId="1" fillId="0" borderId="67" xfId="0" applyFont="1" applyBorder="1" applyProtection="1">
      <protection locked="0"/>
    </xf>
    <xf numFmtId="0" fontId="46" fillId="0" borderId="67" xfId="0" applyFont="1" applyBorder="1" applyAlignment="1" applyProtection="1">
      <alignment horizontal="justify" vertical="center"/>
      <protection locked="0"/>
    </xf>
    <xf numFmtId="0" fontId="1" fillId="0" borderId="73" xfId="0" applyFont="1" applyBorder="1" applyProtection="1">
      <protection locked="0"/>
    </xf>
    <xf numFmtId="0" fontId="46" fillId="10" borderId="67" xfId="0" applyFont="1" applyFill="1" applyBorder="1" applyAlignment="1" applyProtection="1">
      <alignment vertical="center" wrapText="1"/>
      <protection locked="0"/>
    </xf>
    <xf numFmtId="0" fontId="46" fillId="0" borderId="67" xfId="0" applyFont="1" applyBorder="1" applyAlignment="1" applyProtection="1">
      <alignment horizontal="justify" vertical="center" wrapText="1"/>
      <protection locked="0"/>
    </xf>
    <xf numFmtId="0" fontId="1" fillId="9" borderId="67" xfId="0" applyFont="1" applyFill="1" applyBorder="1" applyAlignment="1" applyProtection="1">
      <alignment vertical="center" wrapText="1"/>
      <protection locked="0"/>
    </xf>
    <xf numFmtId="0" fontId="46" fillId="0" borderId="67" xfId="0" applyFont="1" applyBorder="1" applyAlignment="1">
      <alignment vertical="center" wrapText="1"/>
    </xf>
    <xf numFmtId="0" fontId="1" fillId="0" borderId="67" xfId="0" applyFont="1" applyBorder="1" applyAlignment="1">
      <alignment horizontal="center" vertical="center" wrapText="1"/>
    </xf>
    <xf numFmtId="0" fontId="13" fillId="10" borderId="67" xfId="0" applyFont="1" applyFill="1" applyBorder="1" applyAlignment="1">
      <alignment horizontal="center" vertical="center" wrapText="1"/>
    </xf>
    <xf numFmtId="0" fontId="46" fillId="10" borderId="67" xfId="0" applyFont="1" applyFill="1" applyBorder="1" applyAlignment="1" applyProtection="1">
      <alignment vertical="center" wrapText="1"/>
      <protection locked="0" hidden="1"/>
    </xf>
    <xf numFmtId="0" fontId="50" fillId="10" borderId="67" xfId="0" applyFont="1" applyFill="1" applyBorder="1" applyAlignment="1" applyProtection="1">
      <alignment vertical="center" wrapText="1"/>
      <protection locked="0"/>
    </xf>
    <xf numFmtId="0" fontId="47" fillId="0" borderId="67" xfId="0" applyFont="1" applyBorder="1" applyAlignment="1">
      <alignment horizontal="justify" vertical="center" wrapText="1"/>
    </xf>
    <xf numFmtId="0" fontId="48" fillId="0" borderId="67" xfId="0" applyFont="1" applyBorder="1" applyAlignment="1">
      <alignment vertical="center" wrapText="1"/>
    </xf>
    <xf numFmtId="0" fontId="1" fillId="9" borderId="67" xfId="0" applyFont="1" applyFill="1" applyBorder="1" applyAlignment="1" applyProtection="1">
      <alignment horizontal="justify" vertical="center" wrapText="1"/>
      <protection locked="0"/>
    </xf>
    <xf numFmtId="0" fontId="1" fillId="10" borderId="67" xfId="0" applyFont="1" applyFill="1" applyBorder="1" applyAlignment="1" applyProtection="1">
      <alignment vertical="center" wrapText="1"/>
      <protection locked="0"/>
    </xf>
    <xf numFmtId="0" fontId="19" fillId="9" borderId="67" xfId="0" applyFont="1" applyFill="1" applyBorder="1" applyAlignment="1" applyProtection="1">
      <alignment vertical="center" wrapText="1"/>
      <protection locked="0"/>
    </xf>
    <xf numFmtId="0" fontId="10" fillId="0" borderId="67" xfId="0" applyFont="1" applyBorder="1" applyAlignment="1" applyProtection="1">
      <alignment vertical="center" wrapText="1"/>
      <protection locked="0"/>
    </xf>
    <xf numFmtId="0" fontId="16" fillId="15" borderId="67" xfId="0" applyFont="1" applyFill="1" applyBorder="1" applyAlignment="1">
      <alignment horizontal="left" vertical="center" wrapText="1"/>
    </xf>
    <xf numFmtId="0" fontId="13" fillId="14" borderId="68" xfId="0" applyFont="1" applyFill="1" applyBorder="1" applyAlignment="1">
      <alignment horizontal="center" vertical="center" wrapText="1"/>
    </xf>
    <xf numFmtId="0" fontId="14" fillId="0" borderId="67" xfId="0" applyFont="1" applyBorder="1" applyAlignment="1" applyProtection="1">
      <alignment horizontal="justify" vertical="center" wrapText="1"/>
      <protection locked="0"/>
    </xf>
    <xf numFmtId="0" fontId="0" fillId="0" borderId="67" xfId="0" applyBorder="1" applyAlignment="1" applyProtection="1">
      <alignment wrapText="1"/>
      <protection locked="0"/>
    </xf>
    <xf numFmtId="0" fontId="0" fillId="0" borderId="67" xfId="0" applyBorder="1" applyAlignment="1" applyProtection="1">
      <alignment vertical="center" wrapText="1"/>
      <protection locked="0"/>
    </xf>
    <xf numFmtId="0" fontId="0" fillId="0" borderId="67" xfId="0" applyBorder="1" applyAlignment="1">
      <alignment wrapText="1"/>
    </xf>
    <xf numFmtId="0" fontId="14" fillId="0" borderId="67" xfId="0" applyFont="1" applyBorder="1" applyAlignment="1">
      <alignment horizontal="justify" vertical="center" wrapText="1"/>
    </xf>
    <xf numFmtId="0" fontId="1" fillId="0" borderId="67" xfId="0" applyFont="1" applyBorder="1" applyAlignment="1">
      <alignment vertical="center" wrapText="1"/>
    </xf>
    <xf numFmtId="0" fontId="1" fillId="0" borderId="67" xfId="0" applyFont="1" applyBorder="1" applyAlignment="1" applyProtection="1">
      <alignment vertical="center"/>
      <protection locked="0"/>
    </xf>
    <xf numFmtId="0" fontId="45" fillId="0" borderId="67" xfId="0" applyFont="1" applyBorder="1" applyAlignment="1" applyProtection="1">
      <alignment vertical="center" wrapText="1"/>
      <protection locked="0"/>
    </xf>
    <xf numFmtId="0" fontId="1" fillId="0" borderId="67" xfId="0" applyFont="1" applyBorder="1" applyAlignment="1" applyProtection="1">
      <alignment wrapText="1"/>
      <protection locked="0"/>
    </xf>
    <xf numFmtId="0" fontId="12" fillId="13" borderId="67" xfId="0" applyFont="1" applyFill="1" applyBorder="1" applyAlignment="1">
      <alignment horizontal="center" vertical="center"/>
    </xf>
    <xf numFmtId="0" fontId="12" fillId="13" borderId="68" xfId="0" applyFont="1" applyFill="1" applyBorder="1" applyAlignment="1">
      <alignment horizontal="center" vertical="center" wrapText="1"/>
    </xf>
    <xf numFmtId="0" fontId="12" fillId="13" borderId="69" xfId="0" applyFont="1" applyFill="1" applyBorder="1" applyAlignment="1">
      <alignment horizontal="center" vertical="center" wrapText="1"/>
    </xf>
    <xf numFmtId="0" fontId="13" fillId="14" borderId="73" xfId="0" applyFont="1" applyFill="1" applyBorder="1" applyAlignment="1" applyProtection="1">
      <alignment horizontal="center" vertical="center" textRotation="90" wrapText="1"/>
      <protection locked="0" hidden="1"/>
    </xf>
    <xf numFmtId="0" fontId="13" fillId="14" borderId="73" xfId="0" applyFont="1" applyFill="1" applyBorder="1" applyAlignment="1">
      <alignment horizontal="center" vertical="center" wrapText="1"/>
    </xf>
    <xf numFmtId="0" fontId="0" fillId="0" borderId="67" xfId="0" applyBorder="1" applyProtection="1">
      <protection locked="0"/>
    </xf>
    <xf numFmtId="0" fontId="0" fillId="0" borderId="67" xfId="0" applyBorder="1"/>
    <xf numFmtId="0" fontId="1" fillId="0" borderId="70" xfId="0" applyFont="1" applyBorder="1" applyAlignment="1" applyProtection="1">
      <alignment horizontal="center" vertical="center" wrapText="1"/>
      <protection locked="0"/>
    </xf>
    <xf numFmtId="0" fontId="1" fillId="0" borderId="73" xfId="0" applyFont="1" applyBorder="1" applyAlignment="1" applyProtection="1">
      <alignment horizontal="center" vertical="center" wrapText="1"/>
      <protection locked="0"/>
    </xf>
    <xf numFmtId="0" fontId="0" fillId="0" borderId="70" xfId="0" applyBorder="1"/>
    <xf numFmtId="0" fontId="0" fillId="0" borderId="68" xfId="0" applyBorder="1"/>
    <xf numFmtId="0" fontId="0" fillId="14" borderId="67" xfId="0" applyFill="1" applyBorder="1"/>
    <xf numFmtId="0" fontId="0" fillId="14" borderId="68" xfId="0" applyFill="1" applyBorder="1"/>
    <xf numFmtId="0" fontId="39" fillId="0" borderId="67" xfId="0" applyFont="1" applyBorder="1" applyAlignment="1" applyProtection="1">
      <alignment horizontal="center" vertical="center"/>
      <protection hidden="1"/>
    </xf>
    <xf numFmtId="0" fontId="39" fillId="0" borderId="67" xfId="0" applyFont="1" applyBorder="1" applyAlignment="1" applyProtection="1">
      <alignment horizontal="center" vertical="center" wrapText="1"/>
      <protection hidden="1"/>
    </xf>
    <xf numFmtId="0" fontId="21" fillId="0" borderId="67" xfId="0" applyFont="1" applyBorder="1"/>
    <xf numFmtId="0" fontId="22" fillId="0" borderId="67" xfId="0" applyFont="1" applyBorder="1" applyAlignment="1">
      <alignment wrapText="1"/>
    </xf>
    <xf numFmtId="0" fontId="23" fillId="0" borderId="67" xfId="0" applyFont="1" applyBorder="1"/>
    <xf numFmtId="0" fontId="24" fillId="0" borderId="67" xfId="0" applyFont="1" applyBorder="1" applyAlignment="1">
      <alignment wrapText="1"/>
    </xf>
    <xf numFmtId="0" fontId="25" fillId="0" borderId="67" xfId="0" applyFont="1" applyBorder="1" applyAlignment="1">
      <alignment wrapText="1"/>
    </xf>
    <xf numFmtId="0" fontId="26" fillId="0" borderId="67" xfId="0" applyFont="1" applyBorder="1" applyAlignment="1">
      <alignment wrapText="1"/>
    </xf>
    <xf numFmtId="0" fontId="1" fillId="0" borderId="0" xfId="0" applyFont="1" applyAlignment="1">
      <alignment vertical="center"/>
    </xf>
    <xf numFmtId="0" fontId="10" fillId="0" borderId="61" xfId="0" applyFont="1" applyBorder="1" applyAlignment="1" applyProtection="1">
      <alignment vertical="center" wrapText="1"/>
      <protection locked="0"/>
    </xf>
    <xf numFmtId="0" fontId="19" fillId="9" borderId="61" xfId="0" applyFont="1" applyFill="1" applyBorder="1" applyAlignment="1" applyProtection="1">
      <alignment vertical="center" wrapText="1"/>
      <protection locked="0"/>
    </xf>
    <xf numFmtId="0" fontId="21" fillId="0" borderId="3" xfId="0" applyFont="1" applyBorder="1"/>
    <xf numFmtId="0" fontId="0" fillId="0" borderId="61" xfId="0" applyBorder="1" applyAlignment="1">
      <alignment vertical="center"/>
    </xf>
    <xf numFmtId="0" fontId="0" fillId="0" borderId="61" xfId="0" applyBorder="1" applyAlignment="1">
      <alignment vertical="center" wrapText="1"/>
    </xf>
    <xf numFmtId="0" fontId="46" fillId="0" borderId="61" xfId="0" applyFont="1" applyBorder="1" applyAlignment="1">
      <alignment vertical="center" wrapText="1"/>
    </xf>
    <xf numFmtId="0" fontId="46" fillId="0" borderId="61" xfId="0" applyFont="1" applyBorder="1" applyAlignment="1">
      <alignment vertical="center"/>
    </xf>
    <xf numFmtId="0" fontId="46" fillId="0" borderId="61" xfId="0" applyFont="1" applyBorder="1" applyAlignment="1">
      <alignment horizontal="justify" vertical="center" wrapText="1"/>
    </xf>
    <xf numFmtId="0" fontId="46" fillId="0" borderId="0" xfId="0" applyFont="1" applyAlignment="1">
      <alignment vertical="center"/>
    </xf>
    <xf numFmtId="0" fontId="53" fillId="14" borderId="67" xfId="0" applyFont="1" applyFill="1" applyBorder="1" applyAlignment="1">
      <alignment horizontal="center" vertical="center" wrapText="1"/>
    </xf>
    <xf numFmtId="0" fontId="53" fillId="14" borderId="67" xfId="0" applyFont="1" applyFill="1" applyBorder="1" applyAlignment="1">
      <alignment horizontal="center" vertical="center"/>
    </xf>
    <xf numFmtId="0" fontId="53" fillId="14" borderId="61" xfId="0" applyFont="1" applyFill="1" applyBorder="1" applyAlignment="1">
      <alignment horizontal="center" vertical="center" wrapText="1"/>
    </xf>
    <xf numFmtId="0" fontId="48" fillId="0" borderId="67" xfId="0" applyFont="1" applyBorder="1" applyAlignment="1" applyProtection="1">
      <alignment horizontal="center" vertical="center" wrapText="1"/>
      <protection locked="0"/>
    </xf>
    <xf numFmtId="0" fontId="48" fillId="0" borderId="18" xfId="0" applyFont="1" applyBorder="1" applyAlignment="1">
      <alignment horizontal="center" vertical="center" wrapText="1"/>
    </xf>
    <xf numFmtId="0" fontId="53" fillId="10" borderId="67" xfId="0" applyFont="1" applyFill="1" applyBorder="1" applyAlignment="1" applyProtection="1">
      <alignment horizontal="center" vertical="center" wrapText="1"/>
      <protection locked="0"/>
    </xf>
    <xf numFmtId="0" fontId="53" fillId="10" borderId="67" xfId="0" applyFont="1" applyFill="1" applyBorder="1" applyAlignment="1">
      <alignment horizontal="center" vertical="center" wrapText="1"/>
    </xf>
    <xf numFmtId="0" fontId="53" fillId="10" borderId="12" xfId="0" applyFont="1" applyFill="1" applyBorder="1" applyAlignment="1">
      <alignment horizontal="center" vertical="center" wrapText="1"/>
    </xf>
    <xf numFmtId="0" fontId="53" fillId="8" borderId="73" xfId="0" applyFont="1" applyFill="1" applyBorder="1" applyAlignment="1">
      <alignment vertical="center" wrapText="1"/>
    </xf>
    <xf numFmtId="0" fontId="47" fillId="0" borderId="32" xfId="0" applyFont="1" applyBorder="1" applyAlignment="1" applyProtection="1">
      <alignment horizontal="justify" vertical="center" wrapText="1"/>
      <protection locked="0"/>
    </xf>
    <xf numFmtId="0" fontId="47" fillId="0" borderId="0" xfId="0" applyFont="1" applyAlignment="1" applyProtection="1">
      <alignment horizontal="justify" vertical="center" wrapText="1"/>
      <protection locked="0"/>
    </xf>
    <xf numFmtId="0" fontId="47" fillId="0" borderId="12" xfId="0" applyFont="1" applyBorder="1" applyAlignment="1" applyProtection="1">
      <alignment horizontal="justify" vertical="center"/>
      <protection locked="0"/>
    </xf>
    <xf numFmtId="0" fontId="48" fillId="9" borderId="67" xfId="0" applyFont="1" applyFill="1" applyBorder="1" applyAlignment="1" applyProtection="1">
      <alignment vertical="center" wrapText="1"/>
      <protection locked="0"/>
    </xf>
    <xf numFmtId="0" fontId="48" fillId="9" borderId="12" xfId="0" applyFont="1" applyFill="1" applyBorder="1" applyAlignment="1" applyProtection="1">
      <alignment horizontal="justify" vertical="center" wrapText="1"/>
      <protection locked="0"/>
    </xf>
    <xf numFmtId="0" fontId="48" fillId="9" borderId="67" xfId="0" applyFont="1" applyFill="1" applyBorder="1" applyAlignment="1" applyProtection="1">
      <alignment horizontal="justify" vertical="center" wrapText="1"/>
      <protection locked="0"/>
    </xf>
    <xf numFmtId="0" fontId="48" fillId="10" borderId="67" xfId="0" applyFont="1" applyFill="1" applyBorder="1" applyAlignment="1" applyProtection="1">
      <alignment vertical="center" wrapText="1"/>
      <protection locked="0"/>
    </xf>
    <xf numFmtId="0" fontId="48" fillId="9" borderId="16" xfId="0" applyFont="1" applyFill="1" applyBorder="1" applyAlignment="1" applyProtection="1">
      <alignment horizontal="justify" vertical="center" wrapText="1"/>
      <protection locked="0"/>
    </xf>
    <xf numFmtId="0" fontId="48" fillId="10" borderId="16" xfId="0" applyFont="1" applyFill="1" applyBorder="1" applyAlignment="1" applyProtection="1">
      <alignment vertical="center" wrapText="1"/>
      <protection locked="0"/>
    </xf>
    <xf numFmtId="0" fontId="48" fillId="9" borderId="16" xfId="0" applyFont="1" applyFill="1" applyBorder="1" applyAlignment="1" applyProtection="1">
      <alignment vertical="center" wrapText="1"/>
      <protection locked="0"/>
    </xf>
    <xf numFmtId="0" fontId="48" fillId="9" borderId="8" xfId="0" applyFont="1" applyFill="1" applyBorder="1" applyAlignment="1" applyProtection="1">
      <alignment horizontal="justify" vertical="center" wrapText="1"/>
      <protection locked="0"/>
    </xf>
    <xf numFmtId="0" fontId="48" fillId="10" borderId="8" xfId="0" applyFont="1" applyFill="1" applyBorder="1" applyAlignment="1" applyProtection="1">
      <alignment vertical="center" wrapText="1"/>
      <protection locked="0"/>
    </xf>
    <xf numFmtId="0" fontId="48" fillId="9" borderId="8" xfId="0" applyFont="1" applyFill="1" applyBorder="1" applyAlignment="1" applyProtection="1">
      <alignment vertical="center" wrapText="1"/>
      <protection locked="0"/>
    </xf>
    <xf numFmtId="0" fontId="48" fillId="9" borderId="4" xfId="0" applyFont="1" applyFill="1" applyBorder="1" applyAlignment="1" applyProtection="1">
      <alignment horizontal="justify" vertical="center" wrapText="1"/>
      <protection locked="0"/>
    </xf>
    <xf numFmtId="0" fontId="48" fillId="9" borderId="4" xfId="0" applyFont="1" applyFill="1" applyBorder="1" applyAlignment="1" applyProtection="1">
      <alignment vertical="center" wrapText="1"/>
      <protection locked="0"/>
    </xf>
    <xf numFmtId="0" fontId="46" fillId="0" borderId="4" xfId="0" applyFont="1" applyBorder="1" applyAlignment="1" applyProtection="1">
      <alignment vertical="center" wrapText="1"/>
      <protection locked="0"/>
    </xf>
    <xf numFmtId="0" fontId="46" fillId="0" borderId="61" xfId="0" applyFont="1" applyBorder="1" applyAlignment="1" applyProtection="1">
      <alignment vertical="center" wrapText="1"/>
      <protection locked="0"/>
    </xf>
    <xf numFmtId="0" fontId="48" fillId="9" borderId="61" xfId="0" applyFont="1" applyFill="1" applyBorder="1" applyAlignment="1" applyProtection="1">
      <alignment vertical="center" wrapText="1"/>
      <protection locked="0"/>
    </xf>
    <xf numFmtId="0" fontId="48" fillId="0" borderId="67" xfId="0" applyFont="1" applyBorder="1" applyAlignment="1" applyProtection="1">
      <alignment vertical="center"/>
      <protection locked="0"/>
    </xf>
    <xf numFmtId="0" fontId="48" fillId="0" borderId="0" xfId="0" applyFont="1" applyAlignment="1">
      <alignment horizontal="center" vertical="center"/>
    </xf>
    <xf numFmtId="0" fontId="48" fillId="0" borderId="0" xfId="0" applyFont="1" applyAlignment="1">
      <alignment vertical="center" wrapText="1"/>
    </xf>
    <xf numFmtId="0" fontId="0" fillId="0" borderId="61" xfId="0" applyBorder="1" applyAlignment="1">
      <alignment horizontal="center" vertical="center" wrapText="1"/>
    </xf>
    <xf numFmtId="0" fontId="0" fillId="0" borderId="61" xfId="0" applyBorder="1" applyAlignment="1">
      <alignment horizontal="center" vertical="center"/>
    </xf>
    <xf numFmtId="0" fontId="0" fillId="0" borderId="61" xfId="0" applyBorder="1" applyAlignment="1">
      <alignment horizontal="left" vertical="center" wrapText="1"/>
    </xf>
    <xf numFmtId="0" fontId="51" fillId="0" borderId="61" xfId="0" applyFont="1" applyBorder="1" applyAlignment="1">
      <alignment vertical="center" wrapText="1"/>
    </xf>
    <xf numFmtId="0" fontId="0" fillId="0" borderId="61" xfId="0" applyBorder="1" applyAlignment="1">
      <alignment horizontal="justify" vertical="center" wrapText="1"/>
    </xf>
    <xf numFmtId="0" fontId="48" fillId="0" borderId="61" xfId="0" applyFont="1" applyBorder="1" applyAlignment="1">
      <alignment horizontal="justify" vertical="center" wrapText="1"/>
    </xf>
    <xf numFmtId="14" fontId="0" fillId="0" borderId="61" xfId="0" applyNumberFormat="1" applyBorder="1" applyAlignment="1">
      <alignment vertical="center"/>
    </xf>
    <xf numFmtId="14" fontId="0" fillId="0" borderId="61" xfId="0" applyNumberFormat="1" applyBorder="1" applyAlignment="1">
      <alignment horizontal="center" vertical="center"/>
    </xf>
    <xf numFmtId="0" fontId="51" fillId="0" borderId="61" xfId="0" applyFont="1" applyBorder="1" applyAlignment="1">
      <alignment horizontal="justify" vertical="center" wrapText="1"/>
    </xf>
    <xf numFmtId="14" fontId="51" fillId="0" borderId="61" xfId="0" applyNumberFormat="1" applyFont="1" applyBorder="1" applyAlignment="1">
      <alignment horizontal="center" vertical="center"/>
    </xf>
    <xf numFmtId="0" fontId="51" fillId="0" borderId="61" xfId="0" applyFont="1" applyBorder="1" applyAlignment="1">
      <alignment horizontal="justify" vertical="center"/>
    </xf>
    <xf numFmtId="0" fontId="46" fillId="0" borderId="61" xfId="0" applyFont="1" applyBorder="1" applyAlignment="1" applyProtection="1">
      <alignment horizontal="justify" vertical="center" wrapText="1"/>
      <protection locked="0"/>
    </xf>
    <xf numFmtId="14" fontId="46" fillId="0" borderId="61" xfId="0" applyNumberFormat="1" applyFont="1" applyBorder="1" applyAlignment="1" applyProtection="1">
      <alignment horizontal="justify" vertical="center" wrapText="1"/>
      <protection locked="0"/>
    </xf>
    <xf numFmtId="0" fontId="48" fillId="9" borderId="61" xfId="0" applyFont="1" applyFill="1" applyBorder="1" applyAlignment="1" applyProtection="1">
      <alignment horizontal="justify" vertical="center" wrapText="1"/>
      <protection locked="0"/>
    </xf>
    <xf numFmtId="0" fontId="48" fillId="10" borderId="61" xfId="0" applyFont="1" applyFill="1" applyBorder="1" applyAlignment="1" applyProtection="1">
      <alignment vertical="center" wrapText="1"/>
      <protection locked="0"/>
    </xf>
    <xf numFmtId="14" fontId="46" fillId="0" borderId="61" xfId="0" applyNumberFormat="1" applyFont="1" applyBorder="1" applyAlignment="1">
      <alignment horizontal="justify" vertical="center" wrapText="1"/>
    </xf>
    <xf numFmtId="0" fontId="48" fillId="0" borderId="61" xfId="0" applyFont="1" applyBorder="1" applyAlignment="1" applyProtection="1">
      <alignment horizontal="justify" vertical="center" wrapText="1"/>
      <protection locked="0"/>
    </xf>
    <xf numFmtId="0" fontId="48" fillId="0" borderId="61" xfId="0" applyFont="1" applyBorder="1" applyAlignment="1" applyProtection="1">
      <alignment vertical="center" wrapText="1"/>
      <protection locked="0"/>
    </xf>
    <xf numFmtId="0" fontId="48" fillId="0" borderId="61" xfId="0" applyFont="1" applyBorder="1" applyAlignment="1">
      <alignment vertical="center" wrapText="1"/>
    </xf>
    <xf numFmtId="0" fontId="46" fillId="0" borderId="61" xfId="0" applyFont="1" applyBorder="1" applyAlignment="1">
      <alignment horizontal="center" vertical="center"/>
    </xf>
    <xf numFmtId="0" fontId="46" fillId="0" borderId="61" xfId="0" applyFont="1" applyBorder="1" applyAlignment="1" applyProtection="1">
      <alignment horizontal="left" vertical="center" wrapText="1"/>
      <protection locked="0"/>
    </xf>
    <xf numFmtId="0" fontId="47" fillId="0" borderId="61" xfId="0" applyFont="1" applyBorder="1" applyAlignment="1" applyProtection="1">
      <alignment horizontal="justify" vertical="center"/>
      <protection locked="0"/>
    </xf>
    <xf numFmtId="14" fontId="46" fillId="0" borderId="61" xfId="0" applyNumberFormat="1" applyFont="1" applyBorder="1" applyAlignment="1">
      <alignment vertical="center" wrapText="1"/>
    </xf>
    <xf numFmtId="14" fontId="46" fillId="0" borderId="61" xfId="0" applyNumberFormat="1" applyFont="1" applyBorder="1" applyAlignment="1">
      <alignment vertical="center"/>
    </xf>
    <xf numFmtId="0" fontId="48" fillId="0" borderId="70" xfId="0" applyFont="1" applyBorder="1" applyAlignment="1">
      <alignment vertical="center" wrapText="1"/>
    </xf>
    <xf numFmtId="0" fontId="48" fillId="0" borderId="12" xfId="0" applyFont="1" applyBorder="1" applyAlignment="1" applyProtection="1">
      <alignment vertical="center" wrapText="1"/>
      <protection locked="0"/>
    </xf>
    <xf numFmtId="0" fontId="46" fillId="0" borderId="77" xfId="0" applyFont="1" applyBorder="1" applyAlignment="1" applyProtection="1">
      <alignment vertical="center" wrapText="1"/>
      <protection locked="0"/>
    </xf>
    <xf numFmtId="0" fontId="48" fillId="9" borderId="77" xfId="0" applyFont="1" applyFill="1" applyBorder="1" applyAlignment="1" applyProtection="1">
      <alignment vertical="center" wrapText="1"/>
      <protection locked="0"/>
    </xf>
    <xf numFmtId="0" fontId="46" fillId="0" borderId="77" xfId="0" applyFont="1" applyBorder="1" applyAlignment="1" applyProtection="1">
      <alignment horizontal="justify" vertical="center" wrapText="1"/>
      <protection locked="0"/>
    </xf>
    <xf numFmtId="0" fontId="48" fillId="9" borderId="77" xfId="0" applyFont="1" applyFill="1" applyBorder="1" applyAlignment="1" applyProtection="1">
      <alignment horizontal="justify" vertical="center" wrapText="1"/>
      <protection locked="0"/>
    </xf>
    <xf numFmtId="0" fontId="48" fillId="10" borderId="77" xfId="0" applyFont="1" applyFill="1" applyBorder="1" applyAlignment="1" applyProtection="1">
      <alignment vertical="center" wrapText="1"/>
      <protection locked="0"/>
    </xf>
    <xf numFmtId="0" fontId="46" fillId="0" borderId="12" xfId="0" applyFont="1" applyBorder="1" applyAlignment="1" applyProtection="1">
      <alignment vertical="center" wrapText="1"/>
      <protection locked="0"/>
    </xf>
    <xf numFmtId="0" fontId="48" fillId="9" borderId="12" xfId="0" applyFont="1" applyFill="1" applyBorder="1" applyAlignment="1" applyProtection="1">
      <alignment vertical="center" wrapText="1"/>
      <protection locked="0"/>
    </xf>
    <xf numFmtId="0" fontId="46" fillId="0" borderId="12" xfId="0" applyFont="1" applyBorder="1" applyAlignment="1" applyProtection="1">
      <alignment horizontal="justify" vertical="center" wrapText="1"/>
      <protection locked="0"/>
    </xf>
    <xf numFmtId="0" fontId="46" fillId="0" borderId="12" xfId="0" applyFont="1" applyBorder="1" applyAlignment="1" applyProtection="1">
      <alignment horizontal="left" vertical="center" wrapText="1"/>
      <protection locked="0"/>
    </xf>
    <xf numFmtId="0" fontId="53" fillId="8" borderId="73" xfId="0" applyFont="1" applyFill="1" applyBorder="1" applyAlignment="1">
      <alignment horizontal="center" vertical="center" wrapText="1"/>
    </xf>
    <xf numFmtId="0" fontId="53" fillId="8" borderId="12" xfId="0" applyFont="1" applyFill="1" applyBorder="1" applyAlignment="1">
      <alignment horizontal="center" vertical="center" wrapText="1"/>
    </xf>
    <xf numFmtId="0" fontId="48" fillId="0" borderId="67" xfId="0" applyFont="1" applyBorder="1" applyAlignment="1">
      <alignment horizontal="center" vertical="center" wrapText="1"/>
    </xf>
    <xf numFmtId="0" fontId="46" fillId="0" borderId="67" xfId="0" applyFont="1" applyBorder="1" applyAlignment="1">
      <alignment horizontal="justify" vertical="center" wrapText="1"/>
    </xf>
    <xf numFmtId="0" fontId="52" fillId="13" borderId="70" xfId="0" applyFont="1" applyFill="1" applyBorder="1" applyAlignment="1">
      <alignment horizontal="center" vertical="center" wrapText="1"/>
    </xf>
    <xf numFmtId="0" fontId="53" fillId="14" borderId="79" xfId="0" applyFont="1" applyFill="1" applyBorder="1" applyAlignment="1">
      <alignment horizontal="center" vertical="center" textRotation="90" wrapText="1"/>
    </xf>
    <xf numFmtId="0" fontId="49" fillId="15" borderId="78" xfId="0" applyFont="1" applyFill="1" applyBorder="1" applyAlignment="1">
      <alignment horizontal="left" vertical="center" wrapText="1"/>
    </xf>
    <xf numFmtId="0" fontId="46" fillId="0" borderId="78" xfId="0" applyFont="1" applyBorder="1" applyAlignment="1" applyProtection="1">
      <alignment horizontal="justify" vertical="center" wrapText="1"/>
      <protection locked="0"/>
    </xf>
    <xf numFmtId="0" fontId="46" fillId="0" borderId="78" xfId="0" applyFont="1" applyBorder="1" applyAlignment="1" applyProtection="1">
      <alignment vertical="center" wrapText="1"/>
      <protection locked="0"/>
    </xf>
    <xf numFmtId="0" fontId="48" fillId="9" borderId="78" xfId="0" applyFont="1" applyFill="1" applyBorder="1" applyAlignment="1" applyProtection="1">
      <alignment horizontal="justify" vertical="center" wrapText="1"/>
      <protection locked="0"/>
    </xf>
    <xf numFmtId="0" fontId="48" fillId="10" borderId="78" xfId="0" applyFont="1" applyFill="1" applyBorder="1" applyAlignment="1" applyProtection="1">
      <alignment vertical="center" wrapText="1"/>
      <protection locked="0"/>
    </xf>
    <xf numFmtId="0" fontId="48" fillId="9" borderId="78" xfId="0" applyFont="1" applyFill="1" applyBorder="1" applyAlignment="1" applyProtection="1">
      <alignment vertical="center" wrapText="1"/>
      <protection locked="0"/>
    </xf>
    <xf numFmtId="0" fontId="53" fillId="14" borderId="61" xfId="0" applyFont="1" applyFill="1" applyBorder="1" applyAlignment="1">
      <alignment horizontal="center" vertical="center" textRotation="90" wrapText="1"/>
    </xf>
    <xf numFmtId="0" fontId="46" fillId="0" borderId="61" xfId="0" applyFont="1" applyBorder="1" applyAlignment="1">
      <alignment horizontal="justify" vertical="center"/>
    </xf>
    <xf numFmtId="0" fontId="46" fillId="0" borderId="67" xfId="0" applyFont="1" applyBorder="1" applyAlignment="1" applyProtection="1">
      <alignment vertical="center"/>
      <protection locked="0"/>
    </xf>
    <xf numFmtId="0" fontId="46" fillId="0" borderId="76" xfId="0" applyFont="1" applyBorder="1" applyAlignment="1">
      <alignment horizontal="justify" vertical="center"/>
    </xf>
    <xf numFmtId="0" fontId="48" fillId="0" borderId="12" xfId="0" applyFont="1" applyBorder="1" applyAlignment="1" applyProtection="1">
      <alignment vertical="center"/>
      <protection locked="0"/>
    </xf>
    <xf numFmtId="0" fontId="46" fillId="0" borderId="12" xfId="0" applyFont="1" applyBorder="1" applyAlignment="1">
      <alignment horizontal="justify" vertical="center"/>
    </xf>
    <xf numFmtId="0" fontId="48" fillId="0" borderId="73" xfId="0" applyFont="1" applyBorder="1" applyAlignment="1" applyProtection="1">
      <alignment vertical="center"/>
      <protection locked="0"/>
    </xf>
    <xf numFmtId="0" fontId="55" fillId="0" borderId="61" xfId="0" applyFont="1" applyBorder="1" applyAlignment="1">
      <alignment horizontal="justify" vertical="center" wrapText="1"/>
    </xf>
    <xf numFmtId="0" fontId="48" fillId="0" borderId="67" xfId="0" applyFont="1" applyBorder="1" applyAlignment="1">
      <alignment vertical="center"/>
    </xf>
    <xf numFmtId="0" fontId="46" fillId="0" borderId="67" xfId="0" applyFont="1" applyBorder="1" applyAlignment="1">
      <alignment horizontal="left" vertical="center" wrapText="1"/>
    </xf>
    <xf numFmtId="0" fontId="48" fillId="0" borderId="0" xfId="0" applyFont="1" applyAlignment="1">
      <alignment vertical="center"/>
    </xf>
    <xf numFmtId="0" fontId="0" fillId="0" borderId="16" xfId="0" applyBorder="1" applyAlignment="1">
      <alignment vertical="center" wrapText="1"/>
    </xf>
    <xf numFmtId="0" fontId="0" fillId="0" borderId="12" xfId="0" applyBorder="1" applyAlignment="1">
      <alignment vertical="center" wrapText="1"/>
    </xf>
    <xf numFmtId="0" fontId="48" fillId="0" borderId="12" xfId="0" applyFont="1" applyBorder="1" applyAlignment="1" applyProtection="1">
      <alignment horizontal="left" vertical="center" wrapText="1"/>
      <protection locked="0"/>
    </xf>
    <xf numFmtId="0" fontId="56" fillId="0" borderId="61" xfId="0" applyFont="1" applyBorder="1" applyAlignment="1">
      <alignment horizontal="justify" vertical="center"/>
    </xf>
    <xf numFmtId="0" fontId="56" fillId="0" borderId="61" xfId="0" applyFont="1" applyBorder="1" applyAlignment="1">
      <alignment horizontal="justify" vertical="center" wrapText="1"/>
    </xf>
    <xf numFmtId="0" fontId="57" fillId="0" borderId="61" xfId="0" applyFont="1" applyBorder="1" applyAlignment="1" applyProtection="1">
      <alignment wrapText="1"/>
      <protection locked="0"/>
    </xf>
    <xf numFmtId="0" fontId="57" fillId="0" borderId="82" xfId="0" applyFont="1" applyBorder="1" applyAlignment="1">
      <alignment horizontal="center" vertical="center" wrapText="1"/>
    </xf>
    <xf numFmtId="14" fontId="57" fillId="0" borderId="82" xfId="0" applyNumberFormat="1" applyFont="1" applyBorder="1" applyAlignment="1">
      <alignment horizontal="center" vertical="center" wrapText="1"/>
    </xf>
    <xf numFmtId="14" fontId="0" fillId="0" borderId="16" xfId="0" applyNumberFormat="1" applyBorder="1" applyAlignment="1">
      <alignment vertical="center" wrapText="1"/>
    </xf>
    <xf numFmtId="14" fontId="0" fillId="0" borderId="12" xfId="0" applyNumberFormat="1" applyBorder="1" applyAlignment="1">
      <alignment vertical="center" wrapText="1"/>
    </xf>
    <xf numFmtId="0" fontId="57" fillId="0" borderId="82" xfId="0" applyFont="1" applyBorder="1" applyAlignment="1">
      <alignment horizontal="left" vertical="center" wrapText="1"/>
    </xf>
    <xf numFmtId="0" fontId="48" fillId="10" borderId="67" xfId="0" applyFont="1" applyFill="1" applyBorder="1" applyAlignment="1" applyProtection="1">
      <alignment horizontal="left" vertical="center" wrapText="1"/>
      <protection locked="0"/>
    </xf>
    <xf numFmtId="0" fontId="48" fillId="10" borderId="16" xfId="0" applyFont="1" applyFill="1" applyBorder="1" applyAlignment="1" applyProtection="1">
      <alignment horizontal="left" vertical="center" wrapText="1"/>
      <protection locked="0"/>
    </xf>
    <xf numFmtId="0" fontId="48" fillId="10" borderId="77" xfId="0" applyFont="1" applyFill="1" applyBorder="1" applyAlignment="1" applyProtection="1">
      <alignment horizontal="left" vertical="center" wrapText="1"/>
      <protection locked="0"/>
    </xf>
    <xf numFmtId="0" fontId="48" fillId="9" borderId="82" xfId="0" applyFont="1" applyFill="1" applyBorder="1" applyAlignment="1" applyProtection="1">
      <alignment vertical="center" wrapText="1"/>
      <protection locked="0"/>
    </xf>
    <xf numFmtId="0" fontId="57" fillId="0" borderId="61" xfId="0" applyFont="1" applyBorder="1" applyAlignment="1" applyProtection="1">
      <alignment vertical="center" wrapText="1"/>
      <protection locked="0"/>
    </xf>
    <xf numFmtId="0" fontId="57" fillId="0" borderId="32" xfId="0" applyFont="1" applyBorder="1" applyAlignment="1" applyProtection="1">
      <alignment horizontal="justify" vertical="center" wrapText="1"/>
      <protection locked="0"/>
    </xf>
    <xf numFmtId="0" fontId="57" fillId="0" borderId="82" xfId="0" applyFont="1" applyBorder="1" applyAlignment="1">
      <alignment horizontal="justify" vertical="center" wrapText="1"/>
    </xf>
    <xf numFmtId="0" fontId="57" fillId="0" borderId="61" xfId="0" applyFont="1" applyBorder="1" applyAlignment="1">
      <alignment horizontal="left" vertical="center" wrapText="1"/>
    </xf>
    <xf numFmtId="0" fontId="57" fillId="0" borderId="61" xfId="0" applyFont="1" applyBorder="1" applyAlignment="1">
      <alignment horizontal="center" vertical="center" wrapText="1"/>
    </xf>
    <xf numFmtId="14" fontId="57" fillId="0" borderId="61" xfId="0" applyNumberFormat="1" applyFont="1" applyBorder="1" applyAlignment="1">
      <alignment horizontal="center" vertical="center" wrapText="1"/>
    </xf>
    <xf numFmtId="0" fontId="57" fillId="0" borderId="61" xfId="0" applyFont="1" applyBorder="1" applyAlignment="1">
      <alignment vertical="center" wrapText="1"/>
    </xf>
    <xf numFmtId="14" fontId="0" fillId="0" borderId="61" xfId="0" applyNumberFormat="1" applyBorder="1" applyAlignment="1">
      <alignment vertical="center" wrapText="1"/>
    </xf>
    <xf numFmtId="0" fontId="48" fillId="0" borderId="83" xfId="0" applyFont="1" applyBorder="1" applyAlignment="1" applyProtection="1">
      <alignment vertical="center" wrapText="1"/>
      <protection locked="0"/>
    </xf>
    <xf numFmtId="0" fontId="48" fillId="10" borderId="61" xfId="0" applyFont="1" applyFill="1" applyBorder="1" applyAlignment="1" applyProtection="1">
      <alignment horizontal="left" vertical="center" wrapText="1"/>
      <protection locked="0"/>
    </xf>
    <xf numFmtId="0" fontId="48" fillId="9" borderId="61" xfId="0" applyFont="1" applyFill="1" applyBorder="1" applyAlignment="1" applyProtection="1">
      <alignment horizontal="left" vertical="center" wrapText="1"/>
      <protection locked="0"/>
    </xf>
    <xf numFmtId="0" fontId="48" fillId="0" borderId="61" xfId="0" applyFont="1" applyBorder="1" applyAlignment="1">
      <alignment horizontal="left" vertical="center" wrapText="1"/>
    </xf>
    <xf numFmtId="0" fontId="57" fillId="0" borderId="61" xfId="0" applyFont="1" applyBorder="1" applyAlignment="1" applyProtection="1">
      <alignment horizontal="justify" vertical="center" wrapText="1"/>
      <protection locked="0"/>
    </xf>
    <xf numFmtId="0" fontId="57" fillId="0" borderId="61" xfId="0" applyFont="1" applyBorder="1" applyAlignment="1" applyProtection="1">
      <alignment horizontal="left" vertical="center" wrapText="1"/>
      <protection locked="0"/>
    </xf>
    <xf numFmtId="14" fontId="57" fillId="0" borderId="61" xfId="0" applyNumberFormat="1" applyFont="1" applyBorder="1" applyAlignment="1" applyProtection="1">
      <alignment horizontal="left" vertical="center" wrapText="1"/>
      <protection locked="0"/>
    </xf>
    <xf numFmtId="14" fontId="57" fillId="0" borderId="61" xfId="0" applyNumberFormat="1" applyFont="1" applyBorder="1" applyAlignment="1" applyProtection="1">
      <alignment vertical="center" wrapText="1"/>
      <protection locked="0"/>
    </xf>
    <xf numFmtId="0" fontId="57" fillId="0" borderId="61" xfId="0" applyFont="1" applyBorder="1" applyAlignment="1">
      <alignment horizontal="justify" vertical="center" wrapText="1"/>
    </xf>
    <xf numFmtId="14" fontId="57" fillId="0" borderId="82" xfId="0" applyNumberFormat="1" applyFont="1" applyBorder="1" applyAlignment="1">
      <alignment horizontal="justify" vertical="center" wrapText="1"/>
    </xf>
    <xf numFmtId="14" fontId="51" fillId="0" borderId="61" xfId="0" applyNumberFormat="1" applyFont="1" applyBorder="1" applyAlignment="1">
      <alignment horizontal="justify" vertical="center" wrapText="1"/>
    </xf>
    <xf numFmtId="0" fontId="48" fillId="0" borderId="61" xfId="0" applyFont="1" applyBorder="1" applyAlignment="1">
      <alignment vertical="center"/>
    </xf>
    <xf numFmtId="0" fontId="48" fillId="0" borderId="61" xfId="0" applyFont="1" applyBorder="1" applyAlignment="1">
      <alignment horizontal="center" vertical="center" wrapText="1"/>
    </xf>
    <xf numFmtId="0" fontId="48" fillId="0" borderId="61" xfId="0" applyFont="1" applyBorder="1" applyAlignment="1" applyProtection="1">
      <alignment horizontal="center" vertical="center" wrapText="1"/>
      <protection locked="0"/>
    </xf>
    <xf numFmtId="0" fontId="1" fillId="0" borderId="61" xfId="0" applyFont="1" applyBorder="1" applyAlignment="1" applyProtection="1">
      <alignment horizontal="center" vertical="center" wrapText="1"/>
      <protection locked="0"/>
    </xf>
    <xf numFmtId="0" fontId="46" fillId="10" borderId="61" xfId="0" applyFont="1" applyFill="1" applyBorder="1" applyAlignment="1" applyProtection="1">
      <alignment vertical="center" wrapText="1"/>
      <protection locked="0"/>
    </xf>
    <xf numFmtId="0" fontId="46" fillId="10" borderId="61" xfId="0" applyFont="1" applyFill="1" applyBorder="1" applyAlignment="1" applyProtection="1">
      <alignment horizontal="justify" vertical="center" wrapText="1"/>
      <protection locked="0"/>
    </xf>
    <xf numFmtId="0" fontId="48" fillId="10" borderId="61" xfId="0" applyFont="1" applyFill="1" applyBorder="1" applyAlignment="1" applyProtection="1">
      <alignment horizontal="justify" vertical="center" wrapText="1"/>
      <protection locked="0"/>
    </xf>
    <xf numFmtId="0" fontId="48" fillId="0" borderId="67" xfId="0" applyFont="1" applyBorder="1" applyAlignment="1" applyProtection="1">
      <alignment horizontal="justify" vertical="center" wrapText="1"/>
      <protection locked="0"/>
    </xf>
    <xf numFmtId="0" fontId="48" fillId="10" borderId="61" xfId="0" applyFont="1" applyFill="1" applyBorder="1" applyAlignment="1">
      <alignment vertical="center" wrapText="1"/>
    </xf>
    <xf numFmtId="14" fontId="48" fillId="10" borderId="61" xfId="0" applyNumberFormat="1" applyFont="1" applyFill="1" applyBorder="1" applyAlignment="1">
      <alignment vertical="center"/>
    </xf>
    <xf numFmtId="0" fontId="48" fillId="10" borderId="61" xfId="0" applyFont="1" applyFill="1" applyBorder="1" applyAlignment="1">
      <alignment vertical="center"/>
    </xf>
    <xf numFmtId="0" fontId="48" fillId="10" borderId="61" xfId="0" applyFont="1" applyFill="1" applyBorder="1" applyAlignment="1">
      <alignment wrapText="1"/>
    </xf>
    <xf numFmtId="0" fontId="48" fillId="10" borderId="61" xfId="0" applyFont="1" applyFill="1" applyBorder="1"/>
    <xf numFmtId="0" fontId="46" fillId="0" borderId="61" xfId="0" applyFont="1" applyBorder="1" applyAlignment="1" applyProtection="1">
      <alignment horizontal="center" vertical="center" wrapText="1"/>
      <protection locked="0"/>
    </xf>
    <xf numFmtId="0" fontId="46" fillId="0" borderId="61" xfId="0" applyFont="1" applyBorder="1" applyAlignment="1">
      <alignment horizontal="center" vertical="center" wrapText="1"/>
    </xf>
    <xf numFmtId="0" fontId="59" fillId="0" borderId="12" xfId="0" applyFont="1" applyBorder="1" applyAlignment="1" applyProtection="1">
      <alignment vertical="center" wrapText="1"/>
      <protection locked="0"/>
    </xf>
    <xf numFmtId="0" fontId="46" fillId="0" borderId="61" xfId="0" applyFont="1" applyBorder="1" applyAlignment="1">
      <alignment horizontal="left" vertical="center" wrapText="1"/>
    </xf>
    <xf numFmtId="14" fontId="48" fillId="0" borderId="61" xfId="0" applyNumberFormat="1" applyFont="1" applyBorder="1" applyAlignment="1">
      <alignment horizontal="left" vertical="center" wrapText="1"/>
    </xf>
    <xf numFmtId="0" fontId="46" fillId="18" borderId="61" xfId="0" applyFont="1" applyFill="1" applyBorder="1" applyAlignment="1">
      <alignment horizontal="justify" vertical="center" wrapText="1"/>
    </xf>
    <xf numFmtId="0" fontId="48" fillId="8" borderId="61" xfId="0" applyFont="1" applyFill="1" applyBorder="1" applyAlignment="1">
      <alignment horizontal="center" vertical="center" wrapText="1"/>
    </xf>
    <xf numFmtId="14" fontId="0" fillId="0" borderId="61" xfId="0" applyNumberFormat="1" applyBorder="1" applyAlignment="1">
      <alignment horizontal="justify" vertical="center" wrapText="1"/>
    </xf>
    <xf numFmtId="0" fontId="48" fillId="0" borderId="61" xfId="0" applyFont="1" applyBorder="1" applyAlignment="1" applyProtection="1">
      <alignment vertical="center"/>
      <protection locked="0"/>
    </xf>
    <xf numFmtId="0" fontId="53" fillId="8" borderId="61" xfId="0" applyFont="1" applyFill="1" applyBorder="1" applyAlignment="1">
      <alignment horizontal="center" vertical="center" wrapText="1"/>
    </xf>
    <xf numFmtId="0" fontId="53" fillId="10" borderId="61" xfId="0" applyFont="1" applyFill="1" applyBorder="1" applyAlignment="1" applyProtection="1">
      <alignment horizontal="center" vertical="center" wrapText="1"/>
      <protection locked="0"/>
    </xf>
    <xf numFmtId="0" fontId="53" fillId="10" borderId="61" xfId="0" applyFont="1" applyFill="1" applyBorder="1" applyAlignment="1">
      <alignment horizontal="center" vertical="center" wrapText="1"/>
    </xf>
    <xf numFmtId="0" fontId="53" fillId="8" borderId="61" xfId="0" applyFont="1" applyFill="1" applyBorder="1" applyAlignment="1">
      <alignment vertical="center" wrapText="1"/>
    </xf>
    <xf numFmtId="0" fontId="0" fillId="18" borderId="61" xfId="0" applyFill="1" applyBorder="1" applyAlignment="1">
      <alignment horizontal="justify" vertical="center" wrapText="1"/>
    </xf>
    <xf numFmtId="0" fontId="0" fillId="18" borderId="61" xfId="0" applyFill="1" applyBorder="1" applyAlignment="1">
      <alignment horizontal="left" vertical="center" wrapText="1"/>
    </xf>
    <xf numFmtId="0" fontId="46" fillId="18" borderId="61" xfId="0" applyFont="1" applyFill="1" applyBorder="1" applyAlignment="1">
      <alignment horizontal="justify" vertical="center"/>
    </xf>
    <xf numFmtId="0" fontId="0" fillId="0" borderId="85" xfId="0" applyBorder="1" applyAlignment="1">
      <alignment vertical="center" wrapText="1"/>
    </xf>
    <xf numFmtId="0" fontId="60" fillId="18" borderId="85" xfId="0" applyFont="1" applyFill="1" applyBorder="1" applyAlignment="1">
      <alignment horizontal="left" vertical="center" wrapText="1"/>
    </xf>
    <xf numFmtId="0" fontId="60" fillId="18" borderId="86" xfId="0" applyFont="1" applyFill="1" applyBorder="1" applyAlignment="1">
      <alignment horizontal="left" vertical="center" wrapText="1"/>
    </xf>
    <xf numFmtId="0" fontId="0" fillId="18" borderId="87" xfId="0" applyFill="1" applyBorder="1" applyAlignment="1">
      <alignment wrapText="1"/>
    </xf>
    <xf numFmtId="0" fontId="61" fillId="0" borderId="61" xfId="0" applyFont="1" applyBorder="1" applyAlignment="1" applyProtection="1">
      <alignment vertical="center" wrapText="1"/>
      <protection locked="0"/>
    </xf>
    <xf numFmtId="0" fontId="55" fillId="18" borderId="87" xfId="0" applyFont="1" applyFill="1" applyBorder="1" applyAlignment="1">
      <alignment horizontal="left" vertical="center" wrapText="1"/>
    </xf>
    <xf numFmtId="0" fontId="60" fillId="18" borderId="17" xfId="0" applyFont="1" applyFill="1" applyBorder="1" applyAlignment="1">
      <alignment horizontal="left" vertical="center" wrapText="1"/>
    </xf>
    <xf numFmtId="0" fontId="55" fillId="18" borderId="87" xfId="0" applyFont="1" applyFill="1" applyBorder="1" applyAlignment="1">
      <alignment vertical="center" wrapText="1"/>
    </xf>
    <xf numFmtId="0" fontId="60" fillId="18" borderId="57" xfId="0" applyFont="1" applyFill="1" applyBorder="1" applyAlignment="1">
      <alignment horizontal="justify" vertical="center" wrapText="1"/>
    </xf>
    <xf numFmtId="0" fontId="0" fillId="18" borderId="12" xfId="0" applyFill="1" applyBorder="1" applyAlignment="1">
      <alignment vertical="center" wrapText="1"/>
    </xf>
    <xf numFmtId="0" fontId="0" fillId="18" borderId="61" xfId="0" applyFill="1" applyBorder="1" applyAlignment="1">
      <alignment vertical="center" wrapText="1"/>
    </xf>
    <xf numFmtId="0" fontId="46" fillId="18" borderId="61" xfId="0" applyFont="1" applyFill="1" applyBorder="1" applyAlignment="1" applyProtection="1">
      <alignment horizontal="justify" vertical="center" wrapText="1"/>
      <protection locked="0"/>
    </xf>
    <xf numFmtId="0" fontId="46" fillId="18" borderId="61" xfId="0" applyFont="1" applyFill="1" applyBorder="1" applyAlignment="1">
      <alignment vertical="center" wrapText="1"/>
    </xf>
    <xf numFmtId="14" fontId="0" fillId="0" borderId="61" xfId="0" applyNumberFormat="1" applyBorder="1" applyAlignment="1">
      <alignment horizontal="center" vertical="center" wrapText="1"/>
    </xf>
    <xf numFmtId="0" fontId="56" fillId="18" borderId="61" xfId="0" applyFont="1" applyFill="1" applyBorder="1" applyAlignment="1">
      <alignment horizontal="justify" vertical="center" wrapText="1"/>
    </xf>
    <xf numFmtId="0" fontId="46" fillId="18" borderId="88" xfId="0" applyFont="1" applyFill="1" applyBorder="1" applyAlignment="1">
      <alignment horizontal="center" vertical="center" wrapText="1"/>
    </xf>
    <xf numFmtId="0" fontId="46" fillId="18" borderId="16" xfId="0" applyFont="1" applyFill="1" applyBorder="1" applyAlignment="1">
      <alignment horizontal="center" vertical="center" wrapText="1"/>
    </xf>
    <xf numFmtId="0" fontId="46" fillId="18" borderId="12" xfId="0" applyFont="1" applyFill="1" applyBorder="1" applyAlignment="1">
      <alignment horizontal="center" vertical="center" wrapText="1"/>
    </xf>
    <xf numFmtId="0" fontId="46" fillId="10" borderId="61" xfId="0" applyFont="1" applyFill="1" applyBorder="1" applyAlignment="1">
      <alignment horizontal="justify" vertical="center" wrapText="1"/>
    </xf>
    <xf numFmtId="0" fontId="51" fillId="0" borderId="61" xfId="0" applyFont="1" applyBorder="1" applyAlignment="1">
      <alignment horizontal="center" vertical="center" wrapText="1"/>
    </xf>
    <xf numFmtId="0" fontId="48" fillId="0" borderId="88" xfId="0" applyFont="1" applyBorder="1" applyAlignment="1">
      <alignment vertical="center" wrapText="1"/>
    </xf>
    <xf numFmtId="14" fontId="48" fillId="0" borderId="88" xfId="0" applyNumberFormat="1" applyFont="1" applyBorder="1" applyAlignment="1">
      <alignment vertical="center" wrapText="1"/>
    </xf>
    <xf numFmtId="0" fontId="0" fillId="18" borderId="88" xfId="0" applyFill="1" applyBorder="1" applyAlignment="1">
      <alignment horizontal="justify" vertical="center" wrapText="1"/>
    </xf>
    <xf numFmtId="0" fontId="0" fillId="0" borderId="90" xfId="0" applyBorder="1" applyAlignment="1">
      <alignment vertical="center" wrapText="1"/>
    </xf>
    <xf numFmtId="0" fontId="0" fillId="18" borderId="61" xfId="0" applyFill="1" applyBorder="1" applyAlignment="1" applyProtection="1">
      <alignment horizontal="justify" vertical="center" wrapText="1"/>
      <protection locked="0"/>
    </xf>
    <xf numFmtId="0" fontId="48" fillId="10" borderId="61" xfId="0" applyFont="1" applyFill="1" applyBorder="1" applyAlignment="1">
      <alignment horizontal="center" vertical="center" wrapText="1"/>
    </xf>
    <xf numFmtId="0" fontId="48" fillId="0" borderId="4" xfId="0" applyFont="1" applyBorder="1" applyAlignment="1" applyProtection="1">
      <alignment horizontal="center" vertical="center" wrapText="1"/>
      <protection locked="0"/>
    </xf>
    <xf numFmtId="0" fontId="48" fillId="0" borderId="4" xfId="0" applyFont="1" applyBorder="1" applyAlignment="1" applyProtection="1">
      <alignment vertical="center" wrapText="1"/>
      <protection locked="0"/>
    </xf>
    <xf numFmtId="0" fontId="48" fillId="0" borderId="4" xfId="0" applyFont="1" applyBorder="1" applyAlignment="1" applyProtection="1">
      <alignment vertical="center"/>
      <protection locked="0"/>
    </xf>
    <xf numFmtId="0" fontId="48" fillId="0" borderId="43" xfId="0" applyFont="1" applyBorder="1" applyAlignment="1">
      <alignment horizontal="center" vertical="center" wrapText="1"/>
    </xf>
    <xf numFmtId="0" fontId="53" fillId="8" borderId="4" xfId="0" applyFont="1" applyFill="1" applyBorder="1" applyAlignment="1">
      <alignment horizontal="center" vertical="center" wrapText="1"/>
    </xf>
    <xf numFmtId="0" fontId="53" fillId="10" borderId="4" xfId="0" applyFont="1" applyFill="1" applyBorder="1" applyAlignment="1" applyProtection="1">
      <alignment horizontal="center" vertical="center" wrapText="1"/>
      <protection locked="0"/>
    </xf>
    <xf numFmtId="0" fontId="53" fillId="10" borderId="4" xfId="0" applyFont="1" applyFill="1" applyBorder="1" applyAlignment="1">
      <alignment horizontal="center" vertical="center" wrapText="1"/>
    </xf>
    <xf numFmtId="0" fontId="53" fillId="8" borderId="25" xfId="0" applyFont="1" applyFill="1" applyBorder="1" applyAlignment="1">
      <alignment horizontal="center" vertical="center" wrapText="1"/>
    </xf>
    <xf numFmtId="0" fontId="53" fillId="8" borderId="25" xfId="0" applyFont="1" applyFill="1" applyBorder="1" applyAlignment="1">
      <alignment vertical="center" wrapText="1"/>
    </xf>
    <xf numFmtId="0" fontId="48" fillId="0" borderId="4" xfId="0" applyFont="1" applyBorder="1" applyAlignment="1">
      <alignment vertical="center" wrapText="1"/>
    </xf>
    <xf numFmtId="0" fontId="48" fillId="0" borderId="4" xfId="0" applyFont="1" applyBorder="1" applyAlignment="1">
      <alignment vertical="center"/>
    </xf>
    <xf numFmtId="0" fontId="48" fillId="0" borderId="4" xfId="0" applyFont="1" applyBorder="1" applyAlignment="1">
      <alignment horizontal="justify" vertical="center" wrapText="1"/>
    </xf>
    <xf numFmtId="0" fontId="53" fillId="8" borderId="92" xfId="0" applyFont="1" applyFill="1" applyBorder="1" applyAlignment="1">
      <alignment horizontal="center" vertical="center" wrapText="1"/>
    </xf>
    <xf numFmtId="0" fontId="53" fillId="8" borderId="92" xfId="0" applyFont="1" applyFill="1" applyBorder="1" applyAlignment="1">
      <alignment vertical="center" wrapText="1"/>
    </xf>
    <xf numFmtId="0" fontId="48" fillId="0" borderId="92" xfId="0" applyFont="1" applyBorder="1" applyAlignment="1">
      <alignment vertical="center" wrapText="1"/>
    </xf>
    <xf numFmtId="0" fontId="48" fillId="0" borderId="92" xfId="0" applyFont="1" applyBorder="1" applyAlignment="1">
      <alignment horizontal="justify" vertical="center" wrapText="1"/>
    </xf>
    <xf numFmtId="0" fontId="48" fillId="10" borderId="4" xfId="0" applyFont="1" applyFill="1" applyBorder="1" applyAlignment="1" applyProtection="1">
      <alignment vertical="center" wrapText="1"/>
      <protection locked="0"/>
    </xf>
    <xf numFmtId="0" fontId="48" fillId="8" borderId="4" xfId="0" applyFont="1" applyFill="1" applyBorder="1" applyAlignment="1" applyProtection="1">
      <alignment vertical="center" wrapText="1"/>
      <protection locked="0"/>
    </xf>
    <xf numFmtId="0" fontId="48" fillId="0" borderId="25" xfId="0" applyFont="1" applyBorder="1" applyAlignment="1">
      <alignment vertical="center" wrapText="1"/>
    </xf>
    <xf numFmtId="0" fontId="48" fillId="8" borderId="4" xfId="0" applyFont="1" applyFill="1" applyBorder="1" applyAlignment="1">
      <alignment vertical="center" wrapText="1"/>
    </xf>
    <xf numFmtId="0" fontId="46" fillId="0" borderId="61" xfId="0" applyFont="1" applyBorder="1" applyAlignment="1">
      <alignment vertical="top" wrapText="1"/>
    </xf>
    <xf numFmtId="0" fontId="67" fillId="0" borderId="61" xfId="0" applyFont="1" applyBorder="1" applyAlignment="1">
      <alignment horizontal="justify" vertical="center" wrapText="1"/>
    </xf>
    <xf numFmtId="0" fontId="11" fillId="0" borderId="61" xfId="0" applyFont="1" applyBorder="1" applyAlignment="1">
      <alignment horizontal="justify" vertical="center" wrapText="1"/>
    </xf>
    <xf numFmtId="0" fontId="48" fillId="0" borderId="32" xfId="0" applyFont="1" applyBorder="1" applyAlignment="1" applyProtection="1">
      <alignment horizontal="justify" vertical="center" wrapText="1"/>
      <protection locked="0"/>
    </xf>
    <xf numFmtId="0" fontId="47" fillId="0" borderId="32" xfId="0" applyFont="1" applyBorder="1" applyAlignment="1" applyProtection="1">
      <alignment horizontal="justify" vertical="center"/>
      <protection locked="0"/>
    </xf>
    <xf numFmtId="0" fontId="75" fillId="0" borderId="61" xfId="0" applyFont="1" applyBorder="1" applyAlignment="1" applyProtection="1">
      <alignment horizontal="center" vertical="center" wrapText="1"/>
      <protection locked="0"/>
    </xf>
    <xf numFmtId="0" fontId="51" fillId="0" borderId="61" xfId="0" applyFont="1" applyBorder="1" applyAlignment="1">
      <alignment horizontal="left" vertical="center" wrapText="1"/>
    </xf>
    <xf numFmtId="0" fontId="51" fillId="0" borderId="61" xfId="0" applyFont="1" applyBorder="1" applyAlignment="1">
      <alignment horizontal="center" vertical="center"/>
    </xf>
    <xf numFmtId="14" fontId="51" fillId="0" borderId="61" xfId="0" applyNumberFormat="1" applyFont="1" applyBorder="1" applyAlignment="1">
      <alignment vertical="center"/>
    </xf>
    <xf numFmtId="0" fontId="76" fillId="0" borderId="61" xfId="0" applyFont="1" applyBorder="1" applyAlignment="1">
      <alignment horizontal="left" vertical="center" wrapText="1"/>
    </xf>
    <xf numFmtId="0" fontId="77" fillId="0" borderId="61" xfId="0" applyFont="1" applyBorder="1" applyAlignment="1">
      <alignment horizontal="left" vertical="center" wrapText="1"/>
    </xf>
    <xf numFmtId="0" fontId="76" fillId="0" borderId="92" xfId="0" applyFont="1" applyBorder="1" applyAlignment="1">
      <alignment vertical="center" wrapText="1"/>
    </xf>
    <xf numFmtId="0" fontId="48" fillId="17" borderId="61" xfId="0" applyFont="1" applyFill="1" applyBorder="1" applyAlignment="1">
      <alignment vertical="center"/>
    </xf>
    <xf numFmtId="0" fontId="48" fillId="27" borderId="61" xfId="0" applyFont="1" applyFill="1" applyBorder="1" applyAlignment="1" applyProtection="1">
      <alignment vertical="center" wrapText="1"/>
      <protection locked="0"/>
    </xf>
    <xf numFmtId="14" fontId="48" fillId="0" borderId="0" xfId="0" applyNumberFormat="1" applyFont="1" applyAlignment="1">
      <alignment vertical="center"/>
    </xf>
    <xf numFmtId="14" fontId="48" fillId="0" borderId="61" xfId="0" applyNumberFormat="1" applyFont="1" applyBorder="1" applyAlignment="1">
      <alignment vertical="center"/>
    </xf>
    <xf numFmtId="0" fontId="46" fillId="18" borderId="93" xfId="0" applyFont="1" applyFill="1" applyBorder="1" applyAlignment="1">
      <alignment horizontal="justify" vertical="center" wrapText="1"/>
    </xf>
    <xf numFmtId="0" fontId="46" fillId="0" borderId="92" xfId="0" applyFont="1" applyBorder="1" applyAlignment="1">
      <alignment vertical="center"/>
    </xf>
    <xf numFmtId="14" fontId="48" fillId="0" borderId="92" xfId="0" applyNumberFormat="1" applyFont="1" applyBorder="1" applyAlignment="1">
      <alignment vertical="center" wrapText="1"/>
    </xf>
    <xf numFmtId="0" fontId="0" fillId="0" borderId="16" xfId="0" applyBorder="1" applyAlignment="1">
      <alignment horizontal="justify" vertical="center" wrapText="1"/>
    </xf>
    <xf numFmtId="0" fontId="48" fillId="10" borderId="61" xfId="0" applyFont="1" applyFill="1" applyBorder="1" applyAlignment="1" applyProtection="1">
      <alignment horizontal="center" vertical="center" wrapText="1"/>
      <protection locked="0"/>
    </xf>
    <xf numFmtId="0" fontId="46" fillId="21" borderId="67" xfId="0" applyFont="1" applyFill="1" applyBorder="1" applyAlignment="1" applyProtection="1">
      <alignment horizontal="justify" vertical="center" wrapText="1"/>
      <protection locked="0"/>
    </xf>
    <xf numFmtId="0" fontId="46" fillId="29" borderId="67" xfId="0" applyFont="1" applyFill="1" applyBorder="1" applyAlignment="1" applyProtection="1">
      <alignment horizontal="justify" vertical="center" wrapText="1"/>
      <protection locked="0"/>
    </xf>
    <xf numFmtId="0" fontId="46" fillId="28" borderId="67" xfId="0" applyFont="1" applyFill="1" applyBorder="1" applyAlignment="1" applyProtection="1">
      <alignment horizontal="justify" vertical="center" wrapText="1"/>
      <protection locked="0"/>
    </xf>
    <xf numFmtId="0" fontId="46" fillId="26" borderId="67" xfId="0" applyFont="1" applyFill="1" applyBorder="1" applyAlignment="1" applyProtection="1">
      <alignment horizontal="justify" vertical="center" wrapText="1"/>
      <protection locked="0"/>
    </xf>
    <xf numFmtId="0" fontId="0" fillId="0" borderId="0" xfId="0" applyAlignment="1">
      <alignment horizontal="center"/>
    </xf>
    <xf numFmtId="0" fontId="46" fillId="0" borderId="81"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12" xfId="0" applyFont="1" applyBorder="1" applyAlignment="1">
      <alignment horizontal="center" vertical="center" wrapText="1"/>
    </xf>
    <xf numFmtId="0" fontId="46" fillId="0" borderId="16" xfId="0" applyFont="1" applyBorder="1" applyAlignment="1">
      <alignment horizontal="center" vertical="center"/>
    </xf>
    <xf numFmtId="0" fontId="46" fillId="0" borderId="12" xfId="0" applyFont="1" applyBorder="1" applyAlignment="1">
      <alignment horizontal="center" vertical="center"/>
    </xf>
    <xf numFmtId="0" fontId="48" fillId="0" borderId="84" xfId="0" applyFont="1" applyBorder="1" applyAlignment="1">
      <alignment horizontal="center" vertical="center" wrapText="1"/>
    </xf>
    <xf numFmtId="0" fontId="48" fillId="0" borderId="16"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73" xfId="0" applyFont="1" applyBorder="1" applyAlignment="1">
      <alignment horizontal="center" vertical="center" wrapText="1"/>
    </xf>
    <xf numFmtId="0" fontId="48" fillId="17" borderId="29" xfId="0" applyFont="1" applyFill="1" applyBorder="1" applyAlignment="1">
      <alignment horizontal="center" vertical="center"/>
    </xf>
    <xf numFmtId="0" fontId="48" fillId="17" borderId="30" xfId="0" applyFont="1" applyFill="1" applyBorder="1" applyAlignment="1">
      <alignment horizontal="center" vertical="center"/>
    </xf>
    <xf numFmtId="0" fontId="48" fillId="17" borderId="10" xfId="0" applyFont="1" applyFill="1" applyBorder="1" applyAlignment="1">
      <alignment horizontal="center" vertical="center"/>
    </xf>
    <xf numFmtId="0" fontId="46" fillId="10" borderId="67" xfId="0" applyFont="1" applyFill="1" applyBorder="1" applyAlignment="1" applyProtection="1">
      <alignment horizontal="center" vertical="center" wrapText="1"/>
      <protection locked="0"/>
    </xf>
    <xf numFmtId="0" fontId="48" fillId="10" borderId="25" xfId="0" applyFont="1" applyFill="1" applyBorder="1" applyAlignment="1">
      <alignment horizontal="center" vertical="center" wrapText="1"/>
    </xf>
    <xf numFmtId="0" fontId="48" fillId="10" borderId="16" xfId="0" applyFont="1" applyFill="1" applyBorder="1" applyAlignment="1">
      <alignment horizontal="center" vertical="center" wrapText="1"/>
    </xf>
    <xf numFmtId="0" fontId="48" fillId="10" borderId="11" xfId="0" applyFont="1" applyFill="1" applyBorder="1" applyAlignment="1">
      <alignment horizontal="center" vertical="center" wrapText="1"/>
    </xf>
    <xf numFmtId="0" fontId="48" fillId="27" borderId="4" xfId="0" applyFont="1" applyFill="1" applyBorder="1" applyAlignment="1" applyProtection="1">
      <alignment horizontal="justify" vertical="center" wrapText="1"/>
      <protection locked="0"/>
    </xf>
    <xf numFmtId="0" fontId="48" fillId="27" borderId="67" xfId="0" applyFont="1" applyFill="1" applyBorder="1" applyAlignment="1" applyProtection="1">
      <alignment horizontal="justify" vertical="center" wrapText="1"/>
      <protection locked="0"/>
    </xf>
    <xf numFmtId="0" fontId="48" fillId="27" borderId="8" xfId="0" applyFont="1" applyFill="1" applyBorder="1" applyAlignment="1" applyProtection="1">
      <alignment horizontal="justify" vertical="center" wrapText="1"/>
      <protection locked="0"/>
    </xf>
    <xf numFmtId="0" fontId="53" fillId="8" borderId="73" xfId="0" applyFont="1" applyFill="1" applyBorder="1" applyAlignment="1">
      <alignment horizontal="center" vertical="center" wrapText="1"/>
    </xf>
    <xf numFmtId="0" fontId="53" fillId="8" borderId="16" xfId="0" applyFont="1" applyFill="1" applyBorder="1" applyAlignment="1">
      <alignment horizontal="center" vertical="center" wrapText="1"/>
    </xf>
    <xf numFmtId="0" fontId="53" fillId="8" borderId="12" xfId="0" applyFont="1" applyFill="1" applyBorder="1" applyAlignment="1">
      <alignment horizontal="center" vertical="center" wrapText="1"/>
    </xf>
    <xf numFmtId="0" fontId="53" fillId="8" borderId="67" xfId="0" applyFont="1" applyFill="1" applyBorder="1" applyAlignment="1">
      <alignment horizontal="center" vertical="center" wrapText="1"/>
    </xf>
    <xf numFmtId="0" fontId="46" fillId="0" borderId="84" xfId="0" applyFont="1" applyBorder="1" applyAlignment="1">
      <alignment horizontal="left" vertical="center" wrapText="1"/>
    </xf>
    <xf numFmtId="0" fontId="46" fillId="0" borderId="16" xfId="0" applyFont="1" applyBorder="1" applyAlignment="1">
      <alignment horizontal="left" vertical="center" wrapText="1"/>
    </xf>
    <xf numFmtId="0" fontId="46" fillId="0" borderId="12" xfId="0" applyFont="1" applyBorder="1" applyAlignment="1">
      <alignment horizontal="left" vertical="center" wrapText="1"/>
    </xf>
    <xf numFmtId="14" fontId="46" fillId="0" borderId="84" xfId="0" applyNumberFormat="1" applyFont="1" applyBorder="1" applyAlignment="1">
      <alignment horizontal="left" vertical="center" wrapText="1"/>
    </xf>
    <xf numFmtId="14" fontId="46" fillId="0" borderId="16" xfId="0" applyNumberFormat="1" applyFont="1" applyBorder="1" applyAlignment="1">
      <alignment horizontal="left" vertical="center" wrapText="1"/>
    </xf>
    <xf numFmtId="14" fontId="46" fillId="0" borderId="12" xfId="0" applyNumberFormat="1" applyFont="1" applyBorder="1" applyAlignment="1">
      <alignment horizontal="left" vertical="center" wrapText="1"/>
    </xf>
    <xf numFmtId="0" fontId="48" fillId="0" borderId="82" xfId="0" applyFont="1" applyBorder="1" applyAlignment="1" applyProtection="1">
      <alignment horizontal="center" vertical="center" wrapText="1"/>
      <protection locked="0"/>
    </xf>
    <xf numFmtId="0" fontId="48" fillId="0" borderId="12" xfId="0" applyFont="1" applyBorder="1" applyAlignment="1" applyProtection="1">
      <alignment horizontal="center" vertical="center" wrapText="1"/>
      <protection locked="0"/>
    </xf>
    <xf numFmtId="0" fontId="57" fillId="0" borderId="82" xfId="0" applyFont="1" applyBorder="1" applyAlignment="1" applyProtection="1">
      <alignment horizontal="left" vertical="center" wrapText="1"/>
      <protection locked="0"/>
    </xf>
    <xf numFmtId="0" fontId="57" fillId="0" borderId="12" xfId="0" applyFont="1" applyBorder="1" applyAlignment="1" applyProtection="1">
      <alignment horizontal="left" vertical="center" wrapText="1"/>
      <protection locked="0"/>
    </xf>
    <xf numFmtId="0" fontId="57" fillId="0" borderId="82" xfId="0" applyFont="1" applyBorder="1" applyAlignment="1">
      <alignment horizontal="left" vertical="center" wrapText="1"/>
    </xf>
    <xf numFmtId="0" fontId="57" fillId="0" borderId="12" xfId="0" applyFont="1" applyBorder="1" applyAlignment="1">
      <alignment horizontal="left" vertical="center" wrapText="1"/>
    </xf>
    <xf numFmtId="0" fontId="57" fillId="0" borderId="82" xfId="0" applyFont="1" applyBorder="1" applyAlignment="1">
      <alignment horizontal="center" vertical="center" wrapText="1"/>
    </xf>
    <xf numFmtId="0" fontId="57" fillId="0" borderId="12" xfId="0" applyFont="1" applyBorder="1" applyAlignment="1">
      <alignment horizontal="center" vertical="center" wrapText="1"/>
    </xf>
    <xf numFmtId="14" fontId="57" fillId="0" borderId="88" xfId="0" applyNumberFormat="1" applyFont="1" applyBorder="1" applyAlignment="1">
      <alignment horizontal="center" vertical="center" wrapText="1"/>
    </xf>
    <xf numFmtId="14" fontId="57" fillId="0" borderId="12" xfId="0" applyNumberFormat="1" applyFont="1" applyBorder="1" applyAlignment="1">
      <alignment horizontal="center" vertical="center" wrapText="1"/>
    </xf>
    <xf numFmtId="0" fontId="48" fillId="8" borderId="73" xfId="0" applyFont="1" applyFill="1" applyBorder="1" applyAlignment="1">
      <alignment horizontal="center" vertical="center" wrapText="1"/>
    </xf>
    <xf numFmtId="0" fontId="48" fillId="8" borderId="16" xfId="0" applyFont="1" applyFill="1" applyBorder="1" applyAlignment="1">
      <alignment horizontal="center" vertical="center" wrapText="1"/>
    </xf>
    <xf numFmtId="0" fontId="48" fillId="8" borderId="12" xfId="0" applyFont="1" applyFill="1" applyBorder="1" applyAlignment="1">
      <alignment horizontal="center" vertical="center" wrapText="1"/>
    </xf>
    <xf numFmtId="0" fontId="48" fillId="0" borderId="61" xfId="0" applyFont="1" applyBorder="1" applyAlignment="1">
      <alignment horizontal="center" vertical="center" wrapText="1"/>
    </xf>
    <xf numFmtId="0" fontId="48" fillId="0" borderId="67" xfId="0" applyFont="1" applyBorder="1" applyAlignment="1">
      <alignment horizontal="center" vertical="center" wrapText="1"/>
    </xf>
    <xf numFmtId="0" fontId="48" fillId="10" borderId="12" xfId="0" applyFont="1" applyFill="1" applyBorder="1" applyAlignment="1" applyProtection="1">
      <alignment horizontal="center" vertical="center" wrapText="1"/>
      <protection locked="0"/>
    </xf>
    <xf numFmtId="0" fontId="48" fillId="10" borderId="67" xfId="0" applyFont="1" applyFill="1" applyBorder="1" applyAlignment="1" applyProtection="1">
      <alignment horizontal="center" vertical="center" wrapText="1"/>
      <protection locked="0"/>
    </xf>
    <xf numFmtId="0" fontId="48" fillId="10" borderId="77" xfId="0" applyFont="1" applyFill="1" applyBorder="1" applyAlignment="1" applyProtection="1">
      <alignment horizontal="center" vertical="center" wrapText="1"/>
      <protection locked="0"/>
    </xf>
    <xf numFmtId="0" fontId="46" fillId="0" borderId="95" xfId="0" applyFont="1" applyBorder="1" applyAlignment="1" applyProtection="1">
      <alignment horizontal="center" vertical="center" wrapText="1"/>
      <protection locked="0"/>
    </xf>
    <xf numFmtId="0" fontId="46" fillId="0" borderId="16" xfId="0" applyFont="1" applyBorder="1" applyAlignment="1" applyProtection="1">
      <alignment horizontal="center" vertical="center" wrapText="1"/>
      <protection locked="0"/>
    </xf>
    <xf numFmtId="0" fontId="46" fillId="0" borderId="12" xfId="0" applyFont="1" applyBorder="1" applyAlignment="1" applyProtection="1">
      <alignment horizontal="center" vertical="center" wrapText="1"/>
      <protection locked="0"/>
    </xf>
    <xf numFmtId="0" fontId="48" fillId="8" borderId="12" xfId="0" applyFont="1" applyFill="1" applyBorder="1" applyAlignment="1" applyProtection="1">
      <alignment horizontal="center" vertical="center" wrapText="1"/>
      <protection locked="0"/>
    </xf>
    <xf numFmtId="0" fontId="48" fillId="8" borderId="67" xfId="0" applyFont="1" applyFill="1" applyBorder="1" applyAlignment="1" applyProtection="1">
      <alignment horizontal="center" vertical="center" wrapText="1"/>
      <protection locked="0"/>
    </xf>
    <xf numFmtId="0" fontId="48" fillId="8" borderId="77" xfId="0" applyFont="1" applyFill="1" applyBorder="1" applyAlignment="1" applyProtection="1">
      <alignment horizontal="center" vertical="center" wrapText="1"/>
      <protection locked="0"/>
    </xf>
    <xf numFmtId="0" fontId="48" fillId="10" borderId="61" xfId="0" applyFont="1" applyFill="1" applyBorder="1" applyAlignment="1" applyProtection="1">
      <alignment horizontal="center" vertical="center" wrapText="1"/>
      <protection locked="0"/>
    </xf>
    <xf numFmtId="0" fontId="48" fillId="8" borderId="61" xfId="0" applyFont="1" applyFill="1" applyBorder="1" applyAlignment="1" applyProtection="1">
      <alignment horizontal="center" vertical="center" wrapText="1"/>
      <protection locked="0"/>
    </xf>
    <xf numFmtId="0" fontId="48" fillId="10" borderId="31" xfId="0"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wrapText="1"/>
      <protection locked="0"/>
    </xf>
    <xf numFmtId="0" fontId="48" fillId="0" borderId="77" xfId="0" applyFont="1" applyBorder="1" applyAlignment="1">
      <alignment horizontal="center" vertical="center" wrapText="1"/>
    </xf>
    <xf numFmtId="0" fontId="48" fillId="17" borderId="61" xfId="0" applyFont="1" applyFill="1" applyBorder="1" applyAlignment="1">
      <alignment horizontal="center" vertical="center"/>
    </xf>
    <xf numFmtId="0" fontId="48" fillId="10" borderId="61" xfId="0" applyFont="1" applyFill="1" applyBorder="1" applyAlignment="1">
      <alignment horizontal="center" vertical="center" wrapText="1"/>
    </xf>
    <xf numFmtId="0" fontId="48" fillId="27" borderId="61" xfId="0" applyFont="1" applyFill="1" applyBorder="1" applyAlignment="1" applyProtection="1">
      <alignment horizontal="justify" vertical="center" wrapText="1"/>
      <protection locked="0"/>
    </xf>
    <xf numFmtId="0" fontId="48" fillId="27" borderId="12" xfId="0" applyFont="1" applyFill="1" applyBorder="1" applyAlignment="1" applyProtection="1">
      <alignment horizontal="justify" vertical="center" wrapText="1"/>
      <protection locked="0"/>
    </xf>
    <xf numFmtId="0" fontId="48" fillId="10" borderId="78" xfId="0" applyFont="1" applyFill="1" applyBorder="1" applyAlignment="1" applyProtection="1">
      <alignment horizontal="center" vertical="center" wrapText="1"/>
      <protection locked="0"/>
    </xf>
    <xf numFmtId="0" fontId="48" fillId="8" borderId="78" xfId="0" applyFont="1" applyFill="1" applyBorder="1" applyAlignment="1" applyProtection="1">
      <alignment horizontal="center" vertical="center" wrapText="1"/>
      <protection locked="0"/>
    </xf>
    <xf numFmtId="0" fontId="48" fillId="0" borderId="78" xfId="0" applyFont="1" applyBorder="1" applyAlignment="1">
      <alignment horizontal="center" vertical="center" wrapText="1"/>
    </xf>
    <xf numFmtId="0" fontId="48" fillId="27" borderId="78" xfId="0" applyFont="1" applyFill="1" applyBorder="1" applyAlignment="1" applyProtection="1">
      <alignment horizontal="justify" vertical="center" wrapText="1"/>
      <protection locked="0"/>
    </xf>
    <xf numFmtId="0" fontId="48" fillId="8" borderId="80" xfId="0" applyFont="1" applyFill="1" applyBorder="1" applyAlignment="1">
      <alignment horizontal="center" vertical="center" wrapText="1"/>
    </xf>
    <xf numFmtId="0" fontId="48" fillId="27" borderId="77" xfId="0" applyFont="1" applyFill="1" applyBorder="1" applyAlignment="1" applyProtection="1">
      <alignment horizontal="justify" vertical="center" wrapText="1"/>
      <protection locked="0"/>
    </xf>
    <xf numFmtId="0" fontId="46" fillId="0" borderId="67" xfId="0" applyFont="1" applyBorder="1" applyAlignment="1" applyProtection="1">
      <alignment horizontal="center" vertical="center" wrapText="1"/>
      <protection locked="0"/>
    </xf>
    <xf numFmtId="0" fontId="48" fillId="0" borderId="57" xfId="0" applyFont="1" applyBorder="1" applyAlignment="1">
      <alignment horizontal="center" vertical="center" wrapText="1"/>
    </xf>
    <xf numFmtId="0" fontId="48" fillId="0" borderId="68" xfId="0" applyFont="1" applyBorder="1" applyAlignment="1">
      <alignment horizontal="center" vertical="center" wrapText="1"/>
    </xf>
    <xf numFmtId="0" fontId="46" fillId="10" borderId="77" xfId="0" applyFont="1" applyFill="1" applyBorder="1" applyAlignment="1" applyProtection="1">
      <alignment horizontal="center" vertical="center" wrapText="1"/>
      <protection locked="0"/>
    </xf>
    <xf numFmtId="0" fontId="46" fillId="0" borderId="67" xfId="0" applyFont="1" applyBorder="1" applyAlignment="1">
      <alignment horizontal="justify" vertical="center" wrapText="1"/>
    </xf>
    <xf numFmtId="0" fontId="46" fillId="0" borderId="67" xfId="0" applyFont="1" applyBorder="1" applyAlignment="1">
      <alignment horizontal="center" vertical="center" wrapText="1"/>
    </xf>
    <xf numFmtId="0" fontId="46" fillId="0" borderId="77" xfId="0" applyFont="1" applyBorder="1" applyAlignment="1">
      <alignment horizontal="center" vertical="center" wrapText="1"/>
    </xf>
    <xf numFmtId="0" fontId="46" fillId="27" borderId="67" xfId="0" applyFont="1" applyFill="1" applyBorder="1" applyAlignment="1" applyProtection="1">
      <alignment horizontal="justify" vertical="center" wrapText="1"/>
      <protection locked="0"/>
    </xf>
    <xf numFmtId="0" fontId="46" fillId="27" borderId="77" xfId="0" applyFont="1" applyFill="1" applyBorder="1" applyAlignment="1" applyProtection="1">
      <alignment horizontal="justify" vertical="center" wrapText="1"/>
      <protection locked="0"/>
    </xf>
    <xf numFmtId="0" fontId="46" fillId="0" borderId="61" xfId="0" applyFont="1" applyBorder="1" applyAlignment="1" applyProtection="1">
      <alignment horizontal="center" vertical="center" wrapText="1"/>
      <protection locked="0"/>
    </xf>
    <xf numFmtId="0" fontId="46" fillId="10" borderId="61" xfId="0" applyFont="1" applyFill="1" applyBorder="1" applyAlignment="1" applyProtection="1">
      <alignment horizontal="center" vertical="center" wrapText="1"/>
      <protection locked="0"/>
    </xf>
    <xf numFmtId="0" fontId="46" fillId="10" borderId="12" xfId="0" applyFont="1" applyFill="1" applyBorder="1" applyAlignment="1" applyProtection="1">
      <alignment horizontal="center" vertical="center" wrapText="1"/>
      <protection locked="0"/>
    </xf>
    <xf numFmtId="0" fontId="46" fillId="27" borderId="61" xfId="0" applyFont="1" applyFill="1" applyBorder="1" applyAlignment="1" applyProtection="1">
      <alignment horizontal="justify" vertical="center" wrapText="1"/>
      <protection locked="0"/>
    </xf>
    <xf numFmtId="0" fontId="46" fillId="27" borderId="12" xfId="0" applyFont="1" applyFill="1" applyBorder="1" applyAlignment="1" applyProtection="1">
      <alignment horizontal="justify" vertical="center" wrapText="1"/>
      <protection locked="0"/>
    </xf>
    <xf numFmtId="0" fontId="46" fillId="0" borderId="78" xfId="0" applyFont="1" applyBorder="1" applyAlignment="1" applyProtection="1">
      <alignment horizontal="center" vertical="center" wrapText="1"/>
      <protection locked="0"/>
    </xf>
    <xf numFmtId="0" fontId="48" fillId="0" borderId="80" xfId="0" applyFont="1" applyBorder="1" applyAlignment="1">
      <alignment horizontal="center" vertical="center" wrapText="1"/>
    </xf>
    <xf numFmtId="0" fontId="46" fillId="10" borderId="78" xfId="0" applyFont="1" applyFill="1" applyBorder="1" applyAlignment="1" applyProtection="1">
      <alignment horizontal="center" vertical="center" wrapText="1"/>
      <protection locked="0"/>
    </xf>
    <xf numFmtId="0" fontId="46" fillId="0" borderId="61" xfId="0" applyFont="1" applyBorder="1" applyAlignment="1">
      <alignment horizontal="center" vertical="center" wrapText="1"/>
    </xf>
    <xf numFmtId="0" fontId="46" fillId="0" borderId="78" xfId="0" applyFont="1" applyBorder="1" applyAlignment="1">
      <alignment horizontal="center" vertical="center" wrapText="1"/>
    </xf>
    <xf numFmtId="0" fontId="46" fillId="27" borderId="78" xfId="0" applyFont="1" applyFill="1" applyBorder="1" applyAlignment="1" applyProtection="1">
      <alignment horizontal="justify" vertical="center" wrapText="1"/>
      <protection locked="0"/>
    </xf>
    <xf numFmtId="0" fontId="48" fillId="8" borderId="67" xfId="0" applyFont="1" applyFill="1" applyBorder="1" applyAlignment="1">
      <alignment horizontal="center" vertical="center" wrapText="1"/>
    </xf>
    <xf numFmtId="0" fontId="46" fillId="27" borderId="67" xfId="0" applyFont="1" applyFill="1" applyBorder="1" applyAlignment="1" applyProtection="1">
      <alignment horizontal="center" vertical="center" wrapText="1"/>
      <protection locked="0"/>
    </xf>
    <xf numFmtId="0" fontId="48" fillId="8" borderId="73" xfId="0" applyFont="1" applyFill="1" applyBorder="1" applyAlignment="1" applyProtection="1">
      <alignment horizontal="center" vertical="center" wrapText="1"/>
      <protection locked="0"/>
    </xf>
    <xf numFmtId="0" fontId="48" fillId="8" borderId="16" xfId="0" applyFont="1" applyFill="1" applyBorder="1" applyAlignment="1" applyProtection="1">
      <alignment horizontal="center" vertical="center" wrapText="1"/>
      <protection locked="0"/>
    </xf>
    <xf numFmtId="0" fontId="48" fillId="8" borderId="84" xfId="0" applyFont="1" applyFill="1" applyBorder="1" applyAlignment="1" applyProtection="1">
      <alignment horizontal="center" vertical="center" wrapText="1"/>
      <protection locked="0"/>
    </xf>
    <xf numFmtId="0" fontId="52" fillId="13" borderId="61" xfId="0" applyFont="1" applyFill="1" applyBorder="1" applyAlignment="1">
      <alignment horizontal="center" vertical="center" wrapText="1"/>
    </xf>
    <xf numFmtId="0" fontId="52" fillId="13" borderId="79" xfId="0" applyFont="1" applyFill="1" applyBorder="1" applyAlignment="1">
      <alignment horizontal="center" vertical="center" wrapText="1"/>
    </xf>
    <xf numFmtId="0" fontId="52" fillId="13" borderId="68" xfId="0" applyFont="1" applyFill="1" applyBorder="1" applyAlignment="1">
      <alignment horizontal="center" vertical="center"/>
    </xf>
    <xf numFmtId="0" fontId="52" fillId="13" borderId="69" xfId="0" applyFont="1" applyFill="1" applyBorder="1" applyAlignment="1">
      <alignment horizontal="center" vertical="center"/>
    </xf>
    <xf numFmtId="0" fontId="52" fillId="13" borderId="70" xfId="0" applyFont="1" applyFill="1" applyBorder="1" applyAlignment="1">
      <alignment horizontal="center" vertical="center"/>
    </xf>
    <xf numFmtId="0" fontId="52" fillId="13" borderId="68" xfId="0" applyFont="1" applyFill="1" applyBorder="1" applyAlignment="1">
      <alignment horizontal="center" vertical="center" wrapText="1"/>
    </xf>
    <xf numFmtId="0" fontId="52" fillId="13" borderId="69" xfId="0" applyFont="1" applyFill="1" applyBorder="1" applyAlignment="1">
      <alignment horizontal="center" vertical="center" wrapText="1"/>
    </xf>
    <xf numFmtId="0" fontId="52" fillId="13" borderId="70" xfId="0" applyFont="1" applyFill="1" applyBorder="1" applyAlignment="1">
      <alignment horizontal="center" vertical="center" wrapText="1"/>
    </xf>
    <xf numFmtId="0" fontId="46" fillId="15" borderId="78" xfId="0" applyFont="1" applyFill="1" applyBorder="1" applyAlignment="1">
      <alignment horizontal="center" vertical="center" wrapText="1"/>
    </xf>
    <xf numFmtId="164" fontId="46" fillId="10" borderId="78" xfId="0" applyNumberFormat="1" applyFont="1" applyFill="1" applyBorder="1" applyAlignment="1">
      <alignment horizontal="center" vertical="center" wrapText="1"/>
    </xf>
    <xf numFmtId="164" fontId="46" fillId="10" borderId="61" xfId="0" applyNumberFormat="1" applyFont="1" applyFill="1" applyBorder="1" applyAlignment="1">
      <alignment horizontal="center" vertical="center" wrapText="1"/>
    </xf>
    <xf numFmtId="0" fontId="52" fillId="13" borderId="61" xfId="0" applyFont="1" applyFill="1" applyBorder="1" applyAlignment="1">
      <alignment horizontal="center" vertical="center"/>
    </xf>
    <xf numFmtId="0" fontId="52" fillId="13" borderId="79" xfId="0" applyFont="1" applyFill="1" applyBorder="1" applyAlignment="1">
      <alignment horizontal="center" vertical="center"/>
    </xf>
    <xf numFmtId="0" fontId="46" fillId="0" borderId="26" xfId="0" applyFont="1" applyBorder="1" applyAlignment="1">
      <alignment horizontal="center" vertical="center" wrapText="1"/>
    </xf>
    <xf numFmtId="0" fontId="46" fillId="0" borderId="0" xfId="0" applyFont="1" applyAlignment="1">
      <alignment horizontal="center" vertical="center" wrapText="1"/>
    </xf>
    <xf numFmtId="0" fontId="46" fillId="0" borderId="18" xfId="0" applyFont="1" applyBorder="1" applyAlignment="1">
      <alignment horizontal="center" vertical="center" wrapText="1"/>
    </xf>
    <xf numFmtId="0" fontId="0" fillId="18" borderId="84" xfId="0" applyFill="1" applyBorder="1" applyAlignment="1">
      <alignment horizontal="left" vertical="center" wrapText="1"/>
    </xf>
    <xf numFmtId="0" fontId="0" fillId="18" borderId="16" xfId="0" applyFill="1" applyBorder="1" applyAlignment="1">
      <alignment horizontal="left" vertical="center" wrapText="1"/>
    </xf>
    <xf numFmtId="0" fontId="0" fillId="18" borderId="12" xfId="0" applyFill="1" applyBorder="1" applyAlignment="1">
      <alignment horizontal="left" vertical="center" wrapText="1"/>
    </xf>
    <xf numFmtId="0" fontId="0" fillId="0" borderId="78" xfId="0" applyBorder="1" applyAlignment="1">
      <alignment vertical="center" wrapText="1"/>
    </xf>
    <xf numFmtId="0" fontId="0" fillId="0" borderId="16" xfId="0" applyBorder="1" applyAlignment="1">
      <alignment vertical="center" wrapText="1"/>
    </xf>
    <xf numFmtId="0" fontId="0" fillId="0" borderId="12" xfId="0" applyBorder="1" applyAlignment="1">
      <alignment vertical="center" wrapText="1"/>
    </xf>
    <xf numFmtId="0" fontId="0" fillId="0" borderId="91" xfId="0" applyBorder="1" applyAlignment="1">
      <alignment horizontal="justify" vertical="top" wrapText="1"/>
    </xf>
    <xf numFmtId="0" fontId="0" fillId="0" borderId="16" xfId="0" applyBorder="1" applyAlignment="1">
      <alignment horizontal="justify" vertical="top" wrapText="1"/>
    </xf>
    <xf numFmtId="0" fontId="0" fillId="0" borderId="12" xfId="0" applyBorder="1" applyAlignment="1">
      <alignment horizontal="justify" vertical="top" wrapText="1"/>
    </xf>
    <xf numFmtId="0" fontId="0" fillId="0" borderId="78" xfId="0" applyBorder="1" applyAlignment="1">
      <alignment horizontal="center" vertical="center" wrapText="1"/>
    </xf>
    <xf numFmtId="0" fontId="0" fillId="0" borderId="16" xfId="0" applyBorder="1" applyAlignment="1">
      <alignment horizontal="center" vertical="center" wrapText="1"/>
    </xf>
    <xf numFmtId="0" fontId="0" fillId="0" borderId="12" xfId="0" applyBorder="1" applyAlignment="1">
      <alignment horizontal="center" vertical="center" wrapText="1"/>
    </xf>
    <xf numFmtId="0" fontId="46" fillId="0" borderId="84" xfId="0" applyFont="1" applyBorder="1" applyAlignment="1">
      <alignment horizontal="justify" vertical="center" wrapText="1"/>
    </xf>
    <xf numFmtId="0" fontId="46" fillId="0" borderId="16" xfId="0" applyFont="1" applyBorder="1" applyAlignment="1">
      <alignment horizontal="justify" vertical="center" wrapText="1"/>
    </xf>
    <xf numFmtId="0" fontId="46" fillId="0" borderId="12" xfId="0" applyFont="1" applyBorder="1" applyAlignment="1">
      <alignment horizontal="justify" vertical="center" wrapText="1"/>
    </xf>
    <xf numFmtId="0" fontId="46" fillId="0" borderId="84" xfId="0" applyFont="1" applyBorder="1" applyAlignment="1">
      <alignment horizontal="center" vertical="center" wrapText="1"/>
    </xf>
    <xf numFmtId="14" fontId="46" fillId="0" borderId="84" xfId="0" applyNumberFormat="1" applyFont="1" applyBorder="1" applyAlignment="1">
      <alignment horizontal="center" vertical="center" wrapText="1"/>
    </xf>
    <xf numFmtId="0" fontId="46" fillId="18" borderId="84" xfId="0" applyFont="1" applyFill="1" applyBorder="1" applyAlignment="1">
      <alignment horizontal="left" vertical="center" wrapText="1"/>
    </xf>
    <xf numFmtId="0" fontId="46" fillId="18" borderId="16" xfId="0" applyFont="1" applyFill="1" applyBorder="1" applyAlignment="1">
      <alignment horizontal="left" vertical="center" wrapText="1"/>
    </xf>
    <xf numFmtId="0" fontId="46" fillId="18" borderId="12" xfId="0" applyFont="1" applyFill="1" applyBorder="1" applyAlignment="1">
      <alignment horizontal="left" vertical="center" wrapText="1"/>
    </xf>
    <xf numFmtId="0" fontId="46" fillId="0" borderId="91" xfId="0" applyFont="1" applyBorder="1" applyAlignment="1">
      <alignment horizontal="justify" vertical="top" wrapText="1"/>
    </xf>
    <xf numFmtId="0" fontId="46" fillId="0" borderId="16" xfId="0" applyFont="1" applyBorder="1" applyAlignment="1">
      <alignment horizontal="justify" vertical="top" wrapText="1"/>
    </xf>
    <xf numFmtId="0" fontId="46" fillId="0" borderId="12" xfId="0" applyFont="1" applyBorder="1" applyAlignment="1">
      <alignment horizontal="justify" vertical="top" wrapText="1"/>
    </xf>
    <xf numFmtId="0" fontId="46" fillId="0" borderId="78" xfId="0" applyFont="1" applyBorder="1" applyAlignment="1">
      <alignment horizontal="justify" vertical="center" wrapText="1"/>
    </xf>
    <xf numFmtId="0" fontId="0" fillId="0" borderId="77" xfId="0" applyBorder="1" applyAlignment="1">
      <alignment vertical="center" wrapText="1"/>
    </xf>
    <xf numFmtId="0" fontId="0" fillId="0" borderId="77" xfId="0" applyBorder="1" applyAlignment="1">
      <alignment horizontal="justify" vertical="center" wrapText="1"/>
    </xf>
    <xf numFmtId="0" fontId="0" fillId="0" borderId="16" xfId="0" applyBorder="1" applyAlignment="1">
      <alignment horizontal="justify" vertical="center" wrapText="1"/>
    </xf>
    <xf numFmtId="0" fontId="0" fillId="0" borderId="12" xfId="0" applyBorder="1" applyAlignment="1">
      <alignment horizontal="justify" vertical="center" wrapText="1"/>
    </xf>
    <xf numFmtId="0" fontId="0" fillId="0" borderId="61" xfId="0" applyBorder="1" applyAlignment="1">
      <alignment horizontal="center" vertical="center" wrapText="1"/>
    </xf>
    <xf numFmtId="0" fontId="0" fillId="0" borderId="77" xfId="0" applyBorder="1" applyAlignment="1">
      <alignment horizontal="center" vertical="center" wrapText="1"/>
    </xf>
    <xf numFmtId="0" fontId="0" fillId="18" borderId="77" xfId="0" applyFill="1" applyBorder="1" applyAlignment="1">
      <alignment vertical="center" wrapText="1"/>
    </xf>
    <xf numFmtId="0" fontId="0" fillId="18" borderId="16" xfId="0" applyFill="1" applyBorder="1" applyAlignment="1">
      <alignment vertical="center" wrapText="1"/>
    </xf>
    <xf numFmtId="0" fontId="0" fillId="18" borderId="12" xfId="0" applyFill="1" applyBorder="1" applyAlignment="1">
      <alignment vertical="center" wrapText="1"/>
    </xf>
    <xf numFmtId="0" fontId="51" fillId="0" borderId="25" xfId="0" applyFont="1" applyBorder="1" applyAlignment="1">
      <alignment horizontal="center" vertical="center" wrapText="1"/>
    </xf>
    <xf numFmtId="0" fontId="51" fillId="0" borderId="16" xfId="0" applyFont="1" applyBorder="1" applyAlignment="1">
      <alignment horizontal="center" vertical="center" wrapText="1"/>
    </xf>
    <xf numFmtId="0" fontId="51" fillId="0" borderId="11" xfId="0" applyFont="1" applyBorder="1" applyAlignment="1">
      <alignment horizontal="center" vertical="center" wrapText="1"/>
    </xf>
    <xf numFmtId="0" fontId="46" fillId="0" borderId="25" xfId="0" applyFont="1" applyBorder="1" applyAlignment="1">
      <alignment horizontal="center" vertical="center"/>
    </xf>
    <xf numFmtId="0" fontId="51" fillId="0" borderId="91" xfId="0" applyFont="1" applyBorder="1" applyAlignment="1">
      <alignment horizontal="justify" vertical="center" wrapText="1"/>
    </xf>
    <xf numFmtId="0" fontId="51" fillId="0" borderId="16" xfId="0" applyFont="1" applyBorder="1" applyAlignment="1">
      <alignment horizontal="justify" vertical="center" wrapText="1"/>
    </xf>
    <xf numFmtId="0" fontId="51" fillId="0" borderId="12" xfId="0" applyFont="1" applyBorder="1" applyAlignment="1">
      <alignment horizontal="justify" vertical="center" wrapText="1"/>
    </xf>
    <xf numFmtId="0" fontId="51" fillId="0" borderId="78" xfId="0" applyFont="1" applyBorder="1" applyAlignment="1">
      <alignment horizontal="justify" vertical="center" wrapText="1"/>
    </xf>
    <xf numFmtId="14" fontId="51" fillId="0" borderId="78" xfId="0" applyNumberFormat="1" applyFont="1" applyBorder="1" applyAlignment="1">
      <alignment horizontal="justify" vertical="center" wrapText="1"/>
    </xf>
    <xf numFmtId="14" fontId="51" fillId="0" borderId="16" xfId="0" applyNumberFormat="1" applyFont="1" applyBorder="1" applyAlignment="1">
      <alignment horizontal="justify" vertical="center" wrapText="1"/>
    </xf>
    <xf numFmtId="14" fontId="51" fillId="0" borderId="12" xfId="0" applyNumberFormat="1" applyFont="1" applyBorder="1" applyAlignment="1">
      <alignment horizontal="justify" vertical="center" wrapText="1"/>
    </xf>
    <xf numFmtId="0" fontId="51" fillId="18" borderId="78" xfId="0" applyFont="1" applyFill="1" applyBorder="1" applyAlignment="1">
      <alignment horizontal="justify" vertical="center" wrapText="1"/>
    </xf>
    <xf numFmtId="0" fontId="51" fillId="18" borderId="16" xfId="0" applyFont="1" applyFill="1" applyBorder="1" applyAlignment="1">
      <alignment horizontal="justify" vertical="center" wrapText="1"/>
    </xf>
    <xf numFmtId="0" fontId="51" fillId="18" borderId="12" xfId="0" applyFont="1" applyFill="1" applyBorder="1" applyAlignment="1">
      <alignment horizontal="justify" vertical="center" wrapText="1"/>
    </xf>
    <xf numFmtId="0" fontId="51" fillId="0" borderId="78" xfId="0" applyFont="1" applyBorder="1" applyAlignment="1">
      <alignment horizontal="center" vertical="center" wrapText="1"/>
    </xf>
    <xf numFmtId="0" fontId="51" fillId="0" borderId="12" xfId="0" applyFont="1" applyBorder="1" applyAlignment="1">
      <alignment horizontal="center" vertical="center" wrapText="1"/>
    </xf>
    <xf numFmtId="0" fontId="0" fillId="0" borderId="78" xfId="0" applyBorder="1" applyAlignment="1">
      <alignment horizontal="justify" vertical="center" wrapText="1"/>
    </xf>
    <xf numFmtId="14" fontId="0" fillId="0" borderId="78" xfId="0" applyNumberFormat="1" applyBorder="1" applyAlignment="1">
      <alignment horizontal="justify" vertical="center" wrapText="1"/>
    </xf>
    <xf numFmtId="14" fontId="0" fillId="0" borderId="16" xfId="0" applyNumberFormat="1" applyBorder="1" applyAlignment="1">
      <alignment horizontal="justify" vertical="center" wrapText="1"/>
    </xf>
    <xf numFmtId="14" fontId="0" fillId="0" borderId="12" xfId="0" applyNumberFormat="1" applyBorder="1" applyAlignment="1">
      <alignment horizontal="justify" vertical="center" wrapText="1"/>
    </xf>
    <xf numFmtId="0" fontId="0" fillId="18" borderId="78" xfId="0" applyFill="1" applyBorder="1" applyAlignment="1">
      <alignment horizontal="justify" vertical="center" wrapText="1"/>
    </xf>
    <xf numFmtId="0" fontId="0" fillId="18" borderId="16" xfId="0" applyFill="1" applyBorder="1" applyAlignment="1">
      <alignment horizontal="justify" vertical="center" wrapText="1"/>
    </xf>
    <xf numFmtId="0" fontId="0" fillId="18" borderId="12" xfId="0" applyFill="1" applyBorder="1" applyAlignment="1">
      <alignment horizontal="justify" vertical="center" wrapText="1"/>
    </xf>
    <xf numFmtId="0" fontId="0" fillId="0" borderId="91" xfId="0" applyBorder="1" applyAlignment="1">
      <alignment horizontal="justify" vertical="center" wrapText="1"/>
    </xf>
    <xf numFmtId="0" fontId="48" fillId="0" borderId="78" xfId="0" applyFont="1" applyBorder="1" applyAlignment="1">
      <alignment horizontal="justify" vertical="center" wrapText="1"/>
    </xf>
    <xf numFmtId="0" fontId="48" fillId="0" borderId="16" xfId="0" applyFont="1" applyBorder="1" applyAlignment="1">
      <alignment horizontal="justify" vertical="center" wrapText="1"/>
    </xf>
    <xf numFmtId="0" fontId="48" fillId="0" borderId="12" xfId="0" applyFont="1" applyBorder="1" applyAlignment="1">
      <alignment horizontal="justify" vertical="center" wrapText="1"/>
    </xf>
    <xf numFmtId="14" fontId="48" fillId="0" borderId="78" xfId="0" applyNumberFormat="1" applyFont="1" applyBorder="1" applyAlignment="1">
      <alignment horizontal="justify" vertical="center" wrapText="1"/>
    </xf>
    <xf numFmtId="14" fontId="48" fillId="0" borderId="16" xfId="0" applyNumberFormat="1" applyFont="1" applyBorder="1" applyAlignment="1">
      <alignment horizontal="justify" vertical="center" wrapText="1"/>
    </xf>
    <xf numFmtId="14" fontId="48" fillId="0" borderId="12" xfId="0" applyNumberFormat="1" applyFont="1" applyBorder="1" applyAlignment="1">
      <alignment horizontal="justify" vertical="center" wrapText="1"/>
    </xf>
    <xf numFmtId="14" fontId="48" fillId="0" borderId="88" xfId="0" applyNumberFormat="1" applyFont="1" applyBorder="1" applyAlignment="1">
      <alignment horizontal="justify" vertical="center" wrapText="1"/>
    </xf>
    <xf numFmtId="0" fontId="51" fillId="18" borderId="88" xfId="0" applyFont="1" applyFill="1" applyBorder="1" applyAlignment="1">
      <alignment horizontal="left" vertical="center" wrapText="1"/>
    </xf>
    <xf numFmtId="0" fontId="51" fillId="18" borderId="16" xfId="0" applyFont="1" applyFill="1" applyBorder="1" applyAlignment="1">
      <alignment horizontal="left" vertical="center" wrapText="1"/>
    </xf>
    <xf numFmtId="0" fontId="51" fillId="18" borderId="12" xfId="0" applyFont="1" applyFill="1" applyBorder="1" applyAlignment="1">
      <alignment horizontal="left" vertical="center" wrapText="1"/>
    </xf>
    <xf numFmtId="0" fontId="51" fillId="18" borderId="88" xfId="0" applyFont="1" applyFill="1" applyBorder="1" applyAlignment="1">
      <alignment horizontal="center" vertical="center" wrapText="1"/>
    </xf>
    <xf numFmtId="0" fontId="51" fillId="18" borderId="16" xfId="0" applyFont="1" applyFill="1" applyBorder="1" applyAlignment="1">
      <alignment horizontal="center" vertical="center" wrapText="1"/>
    </xf>
    <xf numFmtId="0" fontId="51" fillId="18" borderId="12" xfId="0" applyFont="1" applyFill="1" applyBorder="1" applyAlignment="1">
      <alignment horizontal="center" vertical="center" wrapText="1"/>
    </xf>
    <xf numFmtId="0" fontId="46" fillId="0" borderId="91" xfId="0" applyFont="1" applyBorder="1" applyAlignment="1">
      <alignment horizontal="justify" vertical="center" wrapText="1"/>
    </xf>
    <xf numFmtId="0" fontId="46" fillId="18" borderId="78" xfId="0" applyFont="1" applyFill="1" applyBorder="1" applyAlignment="1">
      <alignment horizontal="justify" vertical="center" wrapText="1"/>
    </xf>
    <xf numFmtId="0" fontId="46" fillId="18" borderId="16" xfId="0" applyFont="1" applyFill="1" applyBorder="1" applyAlignment="1">
      <alignment horizontal="justify" vertical="center" wrapText="1"/>
    </xf>
    <xf numFmtId="0" fontId="46" fillId="18" borderId="12" xfId="0" applyFont="1" applyFill="1" applyBorder="1" applyAlignment="1">
      <alignment horizontal="justify" vertical="center" wrapText="1"/>
    </xf>
    <xf numFmtId="0" fontId="0" fillId="18" borderId="78" xfId="0" quotePrefix="1" applyFill="1" applyBorder="1" applyAlignment="1">
      <alignment horizontal="justify" vertical="center" wrapText="1"/>
    </xf>
    <xf numFmtId="0" fontId="0" fillId="0" borderId="78" xfId="0" quotePrefix="1" applyBorder="1" applyAlignment="1">
      <alignment horizontal="justify" vertical="center" wrapText="1"/>
    </xf>
    <xf numFmtId="0" fontId="0" fillId="0" borderId="89" xfId="0" applyBorder="1" applyAlignment="1">
      <alignment horizontal="justify" vertical="center" wrapText="1"/>
    </xf>
    <xf numFmtId="14" fontId="0" fillId="0" borderId="89" xfId="0" applyNumberFormat="1" applyBorder="1" applyAlignment="1">
      <alignment horizontal="justify" vertical="center" wrapText="1"/>
    </xf>
    <xf numFmtId="0" fontId="0" fillId="18" borderId="89" xfId="0" applyFill="1" applyBorder="1" applyAlignment="1">
      <alignment horizontal="justify" vertical="center" wrapText="1"/>
    </xf>
    <xf numFmtId="0" fontId="0" fillId="18" borderId="88" xfId="0" applyFill="1" applyBorder="1" applyAlignment="1">
      <alignment horizontal="left" vertical="center" wrapText="1"/>
    </xf>
    <xf numFmtId="0" fontId="0" fillId="0" borderId="61" xfId="0" applyBorder="1" applyAlignment="1">
      <alignment horizontal="left" vertical="center" wrapText="1"/>
    </xf>
    <xf numFmtId="14" fontId="0" fillId="0" borderId="78" xfId="0" applyNumberFormat="1" applyBorder="1" applyAlignment="1">
      <alignment horizontal="center" vertical="center" wrapText="1"/>
    </xf>
    <xf numFmtId="0" fontId="0" fillId="18" borderId="78" xfId="0" applyFill="1" applyBorder="1" applyAlignment="1">
      <alignment horizontal="center" vertical="center" wrapText="1"/>
    </xf>
    <xf numFmtId="0" fontId="0" fillId="18" borderId="16" xfId="0" applyFill="1" applyBorder="1" applyAlignment="1">
      <alignment horizontal="center" vertical="center" wrapText="1"/>
    </xf>
    <xf numFmtId="0" fontId="0" fillId="18" borderId="12" xfId="0" applyFill="1" applyBorder="1" applyAlignment="1">
      <alignment horizontal="center" vertical="center" wrapText="1"/>
    </xf>
    <xf numFmtId="0" fontId="54" fillId="0" borderId="78" xfId="0" applyFont="1" applyBorder="1" applyAlignment="1">
      <alignment horizontal="justify" vertical="center" wrapText="1"/>
    </xf>
    <xf numFmtId="0" fontId="54" fillId="0" borderId="16" xfId="0" applyFont="1" applyBorder="1" applyAlignment="1">
      <alignment horizontal="justify" vertical="center"/>
    </xf>
    <xf numFmtId="0" fontId="54" fillId="0" borderId="12" xfId="0" applyFont="1" applyBorder="1" applyAlignment="1">
      <alignment horizontal="justify" vertical="center"/>
    </xf>
    <xf numFmtId="0" fontId="54" fillId="0" borderId="78" xfId="0" applyFont="1" applyBorder="1" applyAlignment="1">
      <alignment horizontal="justify" vertical="center"/>
    </xf>
    <xf numFmtId="0" fontId="54" fillId="0" borderId="91" xfId="0" applyFont="1" applyBorder="1" applyAlignment="1">
      <alignment horizontal="justify" vertical="center"/>
    </xf>
    <xf numFmtId="0" fontId="54" fillId="18" borderId="78" xfId="0" applyFont="1" applyFill="1" applyBorder="1" applyAlignment="1">
      <alignment horizontal="justify" vertical="center" wrapText="1"/>
    </xf>
    <xf numFmtId="0" fontId="54" fillId="18" borderId="16" xfId="0" applyFont="1" applyFill="1" applyBorder="1" applyAlignment="1">
      <alignment horizontal="justify" vertical="center"/>
    </xf>
    <xf numFmtId="0" fontId="54" fillId="18" borderId="12" xfId="0" applyFont="1" applyFill="1" applyBorder="1" applyAlignment="1">
      <alignment horizontal="justify" vertical="center"/>
    </xf>
    <xf numFmtId="14" fontId="46" fillId="0" borderId="78" xfId="0" applyNumberFormat="1" applyFont="1" applyBorder="1" applyAlignment="1">
      <alignment horizontal="justify" vertical="center" wrapText="1"/>
    </xf>
    <xf numFmtId="14" fontId="46" fillId="0" borderId="16" xfId="0" applyNumberFormat="1" applyFont="1" applyBorder="1" applyAlignment="1">
      <alignment horizontal="justify" vertical="center" wrapText="1"/>
    </xf>
    <xf numFmtId="14" fontId="46" fillId="0" borderId="12" xfId="0" applyNumberFormat="1" applyFont="1" applyBorder="1" applyAlignment="1">
      <alignment horizontal="justify" vertical="center" wrapText="1"/>
    </xf>
    <xf numFmtId="0" fontId="46" fillId="18" borderId="88" xfId="0" applyFont="1" applyFill="1" applyBorder="1" applyAlignment="1">
      <alignment horizontal="left" vertical="center" wrapText="1"/>
    </xf>
    <xf numFmtId="0" fontId="0" fillId="0" borderId="88" xfId="0" applyBorder="1" applyAlignment="1">
      <alignment horizontal="justify" vertical="center" wrapText="1"/>
    </xf>
    <xf numFmtId="14" fontId="0" fillId="0" borderId="88" xfId="0" applyNumberFormat="1" applyBorder="1" applyAlignment="1">
      <alignment horizontal="justify" vertical="center" wrapText="1"/>
    </xf>
    <xf numFmtId="0" fontId="51" fillId="18" borderId="88" xfId="0" applyFont="1" applyFill="1" applyBorder="1" applyAlignment="1">
      <alignment horizontal="justify" vertical="center" wrapText="1"/>
    </xf>
    <xf numFmtId="0" fontId="48" fillId="0" borderId="91" xfId="0" applyFont="1" applyBorder="1" applyAlignment="1">
      <alignment horizontal="justify" vertical="center" wrapText="1"/>
    </xf>
    <xf numFmtId="0" fontId="0" fillId="18" borderId="82" xfId="0" applyFill="1" applyBorder="1" applyAlignment="1">
      <alignment horizontal="justify" vertical="center" wrapText="1"/>
    </xf>
    <xf numFmtId="0" fontId="0" fillId="0" borderId="61" xfId="0" applyBorder="1" applyAlignment="1">
      <alignment horizontal="justify" vertical="center" wrapText="1"/>
    </xf>
    <xf numFmtId="0" fontId="46" fillId="0" borderId="61" xfId="0" applyFont="1" applyBorder="1" applyAlignment="1">
      <alignment horizontal="justify" vertical="center" wrapText="1"/>
    </xf>
    <xf numFmtId="0" fontId="48" fillId="18" borderId="78" xfId="0" applyFont="1" applyFill="1" applyBorder="1" applyAlignment="1">
      <alignment horizontal="justify" vertical="center" wrapText="1"/>
    </xf>
    <xf numFmtId="0" fontId="48" fillId="18" borderId="16" xfId="0" applyFont="1" applyFill="1" applyBorder="1" applyAlignment="1">
      <alignment horizontal="justify" vertical="center" wrapText="1"/>
    </xf>
    <xf numFmtId="0" fontId="48" fillId="18" borderId="12" xfId="0" applyFont="1" applyFill="1" applyBorder="1" applyAlignment="1">
      <alignment horizontal="justify" vertical="center" wrapText="1"/>
    </xf>
    <xf numFmtId="0" fontId="48" fillId="0" borderId="61" xfId="0" applyFont="1" applyBorder="1" applyAlignment="1">
      <alignment horizontal="justify" vertical="center" wrapText="1"/>
    </xf>
    <xf numFmtId="14" fontId="57" fillId="0" borderId="16" xfId="0" applyNumberFormat="1" applyFont="1" applyBorder="1" applyAlignment="1">
      <alignment horizontal="center" vertical="center" wrapText="1"/>
    </xf>
    <xf numFmtId="0" fontId="56" fillId="0" borderId="82" xfId="0" applyFont="1" applyBorder="1" applyAlignment="1">
      <alignment horizontal="justify" vertical="center" wrapText="1"/>
    </xf>
    <xf numFmtId="0" fontId="56" fillId="0" borderId="16" xfId="0" applyFont="1" applyBorder="1" applyAlignment="1">
      <alignment horizontal="justify" vertical="center" wrapText="1"/>
    </xf>
    <xf numFmtId="0" fontId="56" fillId="0" borderId="12" xfId="0" applyFont="1" applyBorder="1" applyAlignment="1">
      <alignment horizontal="justify" vertical="center" wrapText="1"/>
    </xf>
    <xf numFmtId="0" fontId="0" fillId="0" borderId="81" xfId="0" applyBorder="1" applyAlignment="1">
      <alignment horizontal="justify" vertical="center" wrapText="1"/>
    </xf>
    <xf numFmtId="0" fontId="48" fillId="17" borderId="84" xfId="0" applyFont="1" applyFill="1" applyBorder="1" applyAlignment="1">
      <alignment horizontal="center" vertical="center"/>
    </xf>
    <xf numFmtId="0" fontId="48" fillId="17" borderId="16" xfId="0" applyFont="1" applyFill="1" applyBorder="1" applyAlignment="1">
      <alignment horizontal="center" vertical="center"/>
    </xf>
    <xf numFmtId="0" fontId="48" fillId="17" borderId="12" xfId="0" applyFont="1" applyFill="1" applyBorder="1" applyAlignment="1">
      <alignment horizontal="center" vertical="center"/>
    </xf>
    <xf numFmtId="0" fontId="48" fillId="10" borderId="84" xfId="0" applyFont="1" applyFill="1" applyBorder="1" applyAlignment="1">
      <alignment horizontal="center" vertical="center" wrapText="1"/>
    </xf>
    <xf numFmtId="0" fontId="48" fillId="10" borderId="12" xfId="0" applyFont="1" applyFill="1" applyBorder="1" applyAlignment="1">
      <alignment horizontal="center" vertical="center" wrapText="1"/>
    </xf>
    <xf numFmtId="0" fontId="48" fillId="27" borderId="84" xfId="0" applyFont="1" applyFill="1" applyBorder="1" applyAlignment="1" applyProtection="1">
      <alignment horizontal="center" vertical="center" wrapText="1"/>
      <protection locked="0"/>
    </xf>
    <xf numFmtId="0" fontId="48" fillId="27" borderId="16" xfId="0" applyFont="1" applyFill="1" applyBorder="1" applyAlignment="1" applyProtection="1">
      <alignment horizontal="center" vertical="center" wrapText="1"/>
      <protection locked="0"/>
    </xf>
    <xf numFmtId="0" fontId="48" fillId="27" borderId="12" xfId="0" applyFont="1" applyFill="1" applyBorder="1" applyAlignment="1" applyProtection="1">
      <alignment horizontal="center" vertical="center" wrapText="1"/>
      <protection locked="0"/>
    </xf>
    <xf numFmtId="0" fontId="48" fillId="9" borderId="84" xfId="0" applyFont="1" applyFill="1" applyBorder="1" applyAlignment="1" applyProtection="1">
      <alignment horizontal="center" vertical="center" wrapText="1"/>
      <protection locked="0"/>
    </xf>
    <xf numFmtId="0" fontId="48" fillId="9" borderId="16" xfId="0" applyFont="1" applyFill="1" applyBorder="1" applyAlignment="1" applyProtection="1">
      <alignment horizontal="center" vertical="center" wrapText="1"/>
      <protection locked="0"/>
    </xf>
    <xf numFmtId="0" fontId="48" fillId="9" borderId="12" xfId="0" applyFont="1" applyFill="1" applyBorder="1" applyAlignment="1" applyProtection="1">
      <alignment horizontal="center" vertical="center" wrapText="1"/>
      <protection locked="0"/>
    </xf>
    <xf numFmtId="0" fontId="48" fillId="10" borderId="84" xfId="0" applyFont="1" applyFill="1" applyBorder="1" applyAlignment="1" applyProtection="1">
      <alignment horizontal="center" vertical="center" wrapText="1"/>
      <protection locked="0"/>
    </xf>
    <xf numFmtId="0" fontId="48" fillId="10" borderId="16" xfId="0" applyFont="1" applyFill="1" applyBorder="1" applyAlignment="1" applyProtection="1">
      <alignment horizontal="center" vertical="center" wrapText="1"/>
      <protection locked="0"/>
    </xf>
    <xf numFmtId="0" fontId="48" fillId="26" borderId="84" xfId="0" applyFont="1" applyFill="1" applyBorder="1" applyAlignment="1">
      <alignment horizontal="center" vertical="center"/>
    </xf>
    <xf numFmtId="0" fontId="48" fillId="26" borderId="16" xfId="0" applyFont="1" applyFill="1" applyBorder="1" applyAlignment="1">
      <alignment horizontal="center" vertical="center"/>
    </xf>
    <xf numFmtId="0" fontId="48" fillId="26" borderId="12" xfId="0" applyFont="1" applyFill="1" applyBorder="1" applyAlignment="1">
      <alignment horizontal="center" vertical="center"/>
    </xf>
    <xf numFmtId="0" fontId="47" fillId="0" borderId="84" xfId="0" applyFont="1" applyBorder="1" applyAlignment="1" applyProtection="1">
      <alignment horizontal="center" vertical="center" wrapText="1"/>
      <protection locked="0"/>
    </xf>
    <xf numFmtId="0" fontId="47" fillId="0" borderId="12" xfId="0" applyFont="1" applyBorder="1" applyAlignment="1" applyProtection="1">
      <alignment horizontal="center" vertical="center" wrapText="1"/>
      <protection locked="0"/>
    </xf>
    <xf numFmtId="0" fontId="48" fillId="0" borderId="61" xfId="0" applyFont="1" applyBorder="1" applyAlignment="1" applyProtection="1">
      <alignment horizontal="center" vertical="center" wrapText="1"/>
      <protection locked="0"/>
    </xf>
    <xf numFmtId="0" fontId="48" fillId="0" borderId="84" xfId="0" applyFont="1" applyBorder="1" applyAlignment="1" applyProtection="1">
      <alignment horizontal="center" vertical="center"/>
      <protection locked="0"/>
    </xf>
    <xf numFmtId="0" fontId="48" fillId="0" borderId="12" xfId="0" applyFont="1" applyBorder="1" applyAlignment="1" applyProtection="1">
      <alignment horizontal="center" vertical="center"/>
      <protection locked="0"/>
    </xf>
    <xf numFmtId="0" fontId="53" fillId="8" borderId="84" xfId="0" applyFont="1" applyFill="1" applyBorder="1" applyAlignment="1">
      <alignment horizontal="center" vertical="center" wrapText="1"/>
    </xf>
    <xf numFmtId="0" fontId="53" fillId="10" borderId="84" xfId="0" applyFont="1" applyFill="1" applyBorder="1" applyAlignment="1" applyProtection="1">
      <alignment horizontal="center" vertical="center" wrapText="1"/>
      <protection locked="0"/>
    </xf>
    <xf numFmtId="0" fontId="53" fillId="10" borderId="12" xfId="0" applyFont="1" applyFill="1" applyBorder="1" applyAlignment="1" applyProtection="1">
      <alignment horizontal="center" vertical="center" wrapText="1"/>
      <protection locked="0"/>
    </xf>
    <xf numFmtId="0" fontId="53" fillId="10" borderId="84" xfId="0" applyFont="1" applyFill="1" applyBorder="1" applyAlignment="1">
      <alignment horizontal="center" vertical="center" wrapText="1"/>
    </xf>
    <xf numFmtId="0" fontId="53" fillId="10" borderId="12" xfId="0" applyFont="1" applyFill="1" applyBorder="1" applyAlignment="1">
      <alignment horizontal="center" vertical="center" wrapText="1"/>
    </xf>
    <xf numFmtId="0" fontId="57" fillId="0" borderId="61" xfId="0" applyFont="1" applyBorder="1" applyAlignment="1">
      <alignment horizontal="center" vertical="center" wrapText="1"/>
    </xf>
    <xf numFmtId="14" fontId="57" fillId="0" borderId="61" xfId="0" applyNumberFormat="1" applyFont="1" applyBorder="1" applyAlignment="1">
      <alignment horizontal="center" vertical="center" wrapText="1"/>
    </xf>
    <xf numFmtId="0" fontId="48" fillId="17" borderId="58" xfId="0" applyFont="1" applyFill="1" applyBorder="1" applyAlignment="1">
      <alignment horizontal="center" vertical="center"/>
    </xf>
    <xf numFmtId="0" fontId="48" fillId="10" borderId="4" xfId="0" applyFont="1" applyFill="1" applyBorder="1" applyAlignment="1" applyProtection="1">
      <alignment horizontal="center" vertical="center" wrapText="1"/>
      <protection locked="0"/>
    </xf>
    <xf numFmtId="0" fontId="48" fillId="10" borderId="4" xfId="0" applyFont="1" applyFill="1" applyBorder="1" applyAlignment="1">
      <alignment horizontal="center" vertical="center" wrapText="1"/>
    </xf>
    <xf numFmtId="0" fontId="48" fillId="27" borderId="16" xfId="0" applyFont="1" applyFill="1" applyBorder="1" applyAlignment="1" applyProtection="1">
      <alignment horizontal="justify" vertical="center" wrapText="1"/>
      <protection locked="0"/>
    </xf>
    <xf numFmtId="0" fontId="48" fillId="10" borderId="25" xfId="0" applyFont="1" applyFill="1" applyBorder="1" applyAlignment="1" applyProtection="1">
      <alignment horizontal="center" vertical="center" wrapText="1"/>
      <protection locked="0"/>
    </xf>
    <xf numFmtId="0" fontId="48" fillId="10" borderId="11" xfId="0" applyFont="1" applyFill="1" applyBorder="1" applyAlignment="1" applyProtection="1">
      <alignment horizontal="center" vertical="center" wrapText="1"/>
      <protection locked="0"/>
    </xf>
    <xf numFmtId="0" fontId="48" fillId="8" borderId="25" xfId="0" applyFont="1" applyFill="1" applyBorder="1" applyAlignment="1">
      <alignment horizontal="center" vertical="center" wrapText="1"/>
    </xf>
    <xf numFmtId="0" fontId="48" fillId="8" borderId="11" xfId="0" applyFont="1" applyFill="1" applyBorder="1" applyAlignment="1">
      <alignment horizontal="center" vertical="center" wrapText="1"/>
    </xf>
    <xf numFmtId="0" fontId="48" fillId="8" borderId="25" xfId="0" applyFont="1" applyFill="1" applyBorder="1" applyAlignment="1" applyProtection="1">
      <alignment horizontal="center" vertical="center" wrapText="1"/>
      <protection locked="0"/>
    </xf>
    <xf numFmtId="0" fontId="48" fillId="8" borderId="11" xfId="0" applyFont="1" applyFill="1" applyBorder="1" applyAlignment="1" applyProtection="1">
      <alignment horizontal="center" vertical="center" wrapText="1"/>
      <protection locked="0"/>
    </xf>
    <xf numFmtId="0" fontId="48" fillId="0" borderId="25" xfId="0" applyFont="1" applyBorder="1" applyAlignment="1">
      <alignment horizontal="center" vertical="center" wrapText="1"/>
    </xf>
    <xf numFmtId="0" fontId="48" fillId="0" borderId="11" xfId="0" applyFont="1" applyBorder="1" applyAlignment="1">
      <alignment horizontal="center" vertical="center" wrapText="1"/>
    </xf>
    <xf numFmtId="0" fontId="53" fillId="8" borderId="25" xfId="0" applyFont="1" applyFill="1" applyBorder="1" applyAlignment="1">
      <alignment horizontal="center" vertical="center" wrapText="1"/>
    </xf>
    <xf numFmtId="0" fontId="53" fillId="8" borderId="11" xfId="0" applyFont="1" applyFill="1" applyBorder="1" applyAlignment="1">
      <alignment horizontal="center" vertical="center" wrapText="1"/>
    </xf>
    <xf numFmtId="0" fontId="48" fillId="0" borderId="25" xfId="0" applyFont="1" applyBorder="1" applyAlignment="1">
      <alignment horizontal="justify" vertical="center" wrapText="1"/>
    </xf>
    <xf numFmtId="0" fontId="48" fillId="0" borderId="44" xfId="0" applyFont="1" applyBorder="1" applyAlignment="1">
      <alignment horizontal="justify" vertical="center" wrapText="1"/>
    </xf>
    <xf numFmtId="0" fontId="48" fillId="0" borderId="45" xfId="0" applyFont="1" applyBorder="1" applyAlignment="1">
      <alignment horizontal="justify" vertical="center" wrapText="1"/>
    </xf>
    <xf numFmtId="0" fontId="46" fillId="0" borderId="92" xfId="0" applyFont="1" applyBorder="1" applyAlignment="1">
      <alignment horizontal="center" vertical="center" wrapText="1"/>
    </xf>
    <xf numFmtId="0" fontId="48" fillId="10" borderId="92" xfId="0" applyFont="1" applyFill="1" applyBorder="1" applyAlignment="1">
      <alignment horizontal="center" vertical="center" wrapText="1"/>
    </xf>
    <xf numFmtId="0" fontId="0" fillId="0" borderId="92" xfId="0" applyBorder="1" applyAlignment="1">
      <alignment horizontal="center" vertical="center" wrapText="1"/>
    </xf>
    <xf numFmtId="0" fontId="0" fillId="0" borderId="11" xfId="0" applyBorder="1" applyAlignment="1">
      <alignment horizontal="center" vertical="center" wrapText="1"/>
    </xf>
    <xf numFmtId="0" fontId="46" fillId="0" borderId="92" xfId="0" applyFont="1" applyBorder="1" applyAlignment="1">
      <alignment horizontal="left" vertical="center" wrapText="1"/>
    </xf>
    <xf numFmtId="0" fontId="51" fillId="0" borderId="92" xfId="0" applyFont="1" applyBorder="1" applyAlignment="1">
      <alignment horizontal="left" vertical="center" wrapText="1"/>
    </xf>
    <xf numFmtId="0" fontId="51" fillId="0" borderId="12" xfId="0" applyFont="1" applyBorder="1" applyAlignment="1">
      <alignment horizontal="left" vertical="center" wrapText="1"/>
    </xf>
    <xf numFmtId="0" fontId="51" fillId="0" borderId="92" xfId="0" applyFont="1" applyBorder="1" applyAlignment="1">
      <alignment horizontal="center" vertical="center"/>
    </xf>
    <xf numFmtId="0" fontId="51" fillId="0" borderId="12" xfId="0" applyFont="1" applyBorder="1" applyAlignment="1">
      <alignment horizontal="center" vertical="center"/>
    </xf>
    <xf numFmtId="14" fontId="51" fillId="0" borderId="92" xfId="0" applyNumberFormat="1" applyFont="1" applyBorder="1" applyAlignment="1">
      <alignment horizontal="center" vertical="center"/>
    </xf>
    <xf numFmtId="14" fontId="51" fillId="0" borderId="12" xfId="0" applyNumberFormat="1" applyFont="1" applyBorder="1" applyAlignment="1">
      <alignment horizontal="center" vertical="center"/>
    </xf>
    <xf numFmtId="0" fontId="51" fillId="0" borderId="92" xfId="0" applyFont="1" applyBorder="1" applyAlignment="1">
      <alignment horizontal="center" vertical="center" wrapText="1"/>
    </xf>
    <xf numFmtId="0" fontId="76" fillId="0" borderId="92" xfId="0" applyFont="1" applyBorder="1" applyAlignment="1">
      <alignment horizontal="left" vertical="center" wrapText="1"/>
    </xf>
    <xf numFmtId="0" fontId="76" fillId="0" borderId="12" xfId="0" applyFont="1" applyBorder="1" applyAlignment="1">
      <alignment horizontal="left" vertical="center" wrapText="1"/>
    </xf>
    <xf numFmtId="0" fontId="76" fillId="0" borderId="16" xfId="0" applyFont="1" applyBorder="1" applyAlignment="1">
      <alignment horizontal="left" vertical="center" wrapText="1"/>
    </xf>
    <xf numFmtId="0" fontId="0" fillId="18" borderId="84" xfId="0" applyFill="1" applyBorder="1" applyAlignment="1">
      <alignment horizontal="center" vertical="center" wrapText="1"/>
    </xf>
    <xf numFmtId="0" fontId="48" fillId="0" borderId="84" xfId="0" applyFont="1" applyBorder="1" applyAlignment="1" applyProtection="1">
      <alignment horizontal="center" vertical="center" wrapText="1"/>
      <protection locked="0"/>
    </xf>
    <xf numFmtId="0" fontId="46" fillId="0" borderId="94" xfId="0" applyFont="1" applyBorder="1" applyAlignment="1">
      <alignment horizontal="center" vertical="center" wrapText="1"/>
    </xf>
    <xf numFmtId="0" fontId="1" fillId="0" borderId="73"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7" xfId="0" applyFont="1" applyBorder="1" applyAlignment="1">
      <alignment horizontal="center" vertical="center" wrapText="1"/>
    </xf>
    <xf numFmtId="0" fontId="13" fillId="8" borderId="73"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3" fillId="8" borderId="12" xfId="0" applyFont="1" applyFill="1" applyBorder="1" applyAlignment="1">
      <alignment horizontal="center" vertical="center" wrapText="1"/>
    </xf>
    <xf numFmtId="0" fontId="1" fillId="8" borderId="73"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67" xfId="0" applyFont="1" applyFill="1" applyBorder="1" applyAlignment="1">
      <alignment horizontal="center" vertical="center" wrapText="1"/>
    </xf>
    <xf numFmtId="0" fontId="1" fillId="17" borderId="29" xfId="0" applyFont="1" applyFill="1" applyBorder="1" applyAlignment="1">
      <alignment horizontal="center" vertical="center"/>
    </xf>
    <xf numFmtId="0" fontId="1" fillId="17" borderId="30" xfId="0" applyFont="1" applyFill="1" applyBorder="1" applyAlignment="1">
      <alignment horizontal="center" vertical="center"/>
    </xf>
    <xf numFmtId="0" fontId="1" fillId="17" borderId="10" xfId="0" applyFont="1" applyFill="1" applyBorder="1" applyAlignment="1">
      <alignment horizontal="center" vertical="center"/>
    </xf>
    <xf numFmtId="0" fontId="1" fillId="10" borderId="4" xfId="0" applyFont="1" applyFill="1" applyBorder="1" applyAlignment="1" applyProtection="1">
      <alignment horizontal="center" vertical="center" wrapText="1"/>
      <protection locked="0"/>
    </xf>
    <xf numFmtId="0" fontId="1" fillId="10" borderId="67" xfId="0" applyFont="1" applyFill="1" applyBorder="1" applyAlignment="1" applyProtection="1">
      <alignment horizontal="center" vertical="center" wrapText="1"/>
      <protection locked="0"/>
    </xf>
    <xf numFmtId="0" fontId="1" fillId="10" borderId="8" xfId="0" applyFont="1" applyFill="1" applyBorder="1" applyAlignment="1" applyProtection="1">
      <alignment horizontal="center" vertical="center" wrapText="1"/>
      <protection locked="0"/>
    </xf>
    <xf numFmtId="0" fontId="1" fillId="10" borderId="25" xfId="0" applyFont="1" applyFill="1" applyBorder="1" applyAlignment="1">
      <alignment horizontal="center" vertical="center" wrapText="1"/>
    </xf>
    <xf numFmtId="0" fontId="1" fillId="10" borderId="16" xfId="0" applyFont="1" applyFill="1" applyBorder="1" applyAlignment="1">
      <alignment horizontal="center" vertical="center" wrapText="1"/>
    </xf>
    <xf numFmtId="0" fontId="1" fillId="10" borderId="11" xfId="0" applyFont="1" applyFill="1" applyBorder="1" applyAlignment="1">
      <alignment horizontal="center" vertical="center" wrapText="1"/>
    </xf>
    <xf numFmtId="0" fontId="1" fillId="0" borderId="4" xfId="0" applyFont="1" applyBorder="1" applyAlignment="1" applyProtection="1">
      <alignment horizontal="justify" vertical="center" wrapText="1"/>
      <protection locked="0"/>
    </xf>
    <xf numFmtId="0" fontId="1" fillId="0" borderId="67" xfId="0" applyFont="1" applyBorder="1" applyAlignment="1" applyProtection="1">
      <alignment horizontal="justify" vertical="center" wrapText="1"/>
      <protection locked="0"/>
    </xf>
    <xf numFmtId="0" fontId="1" fillId="0" borderId="8" xfId="0" applyFont="1" applyBorder="1" applyAlignment="1" applyProtection="1">
      <alignment horizontal="justify" vertical="center" wrapText="1"/>
      <protection locked="0"/>
    </xf>
    <xf numFmtId="0" fontId="1" fillId="9" borderId="4" xfId="0" applyFont="1" applyFill="1" applyBorder="1" applyAlignment="1" applyProtection="1">
      <alignment horizontal="justify" vertical="center" wrapText="1"/>
      <protection locked="0"/>
    </xf>
    <xf numFmtId="0" fontId="1" fillId="9" borderId="67" xfId="0" applyFont="1" applyFill="1" applyBorder="1" applyAlignment="1" applyProtection="1">
      <alignment horizontal="justify" vertical="center" wrapText="1"/>
      <protection locked="0"/>
    </xf>
    <xf numFmtId="0" fontId="12" fillId="13" borderId="5" xfId="0" applyFont="1" applyFill="1" applyBorder="1" applyAlignment="1">
      <alignment horizontal="center" vertical="center"/>
    </xf>
    <xf numFmtId="0" fontId="12" fillId="13" borderId="4" xfId="0" applyFont="1" applyFill="1" applyBorder="1" applyAlignment="1">
      <alignment horizontal="center" vertical="center"/>
    </xf>
    <xf numFmtId="0" fontId="12" fillId="13" borderId="7" xfId="0" applyFont="1" applyFill="1" applyBorder="1" applyAlignment="1">
      <alignment horizontal="center" vertical="center"/>
    </xf>
    <xf numFmtId="0" fontId="12" fillId="13" borderId="8" xfId="0" applyFont="1" applyFill="1" applyBorder="1" applyAlignment="1">
      <alignment horizontal="center" vertical="center"/>
    </xf>
    <xf numFmtId="0" fontId="12" fillId="13" borderId="67" xfId="0" applyFont="1" applyFill="1" applyBorder="1" applyAlignment="1">
      <alignment horizontal="center" vertical="center"/>
    </xf>
    <xf numFmtId="0" fontId="12" fillId="13" borderId="67" xfId="0" applyFont="1" applyFill="1" applyBorder="1" applyAlignment="1">
      <alignment horizontal="center" vertical="center" wrapText="1"/>
    </xf>
    <xf numFmtId="0" fontId="12" fillId="13" borderId="68" xfId="0" applyFont="1" applyFill="1" applyBorder="1" applyAlignment="1">
      <alignment horizontal="center" vertical="center" wrapText="1"/>
    </xf>
    <xf numFmtId="0" fontId="31" fillId="0" borderId="19" xfId="0" applyFont="1" applyBorder="1" applyAlignment="1">
      <alignment horizontal="right" vertical="center" wrapText="1"/>
    </xf>
    <xf numFmtId="0" fontId="31" fillId="0" borderId="20" xfId="0" applyFont="1" applyBorder="1" applyAlignment="1">
      <alignment horizontal="right" vertical="center" wrapText="1"/>
    </xf>
    <xf numFmtId="0" fontId="31" fillId="0" borderId="26" xfId="0" applyFont="1" applyBorder="1" applyAlignment="1">
      <alignment horizontal="right" vertical="center" wrapText="1"/>
    </xf>
    <xf numFmtId="0" fontId="31" fillId="0" borderId="0" xfId="0" applyFont="1" applyAlignment="1">
      <alignment horizontal="right" vertical="center" wrapText="1"/>
    </xf>
    <xf numFmtId="0" fontId="31" fillId="0" borderId="27" xfId="0" applyFont="1" applyBorder="1" applyAlignment="1">
      <alignment horizontal="right" vertical="center" wrapText="1"/>
    </xf>
    <xf numFmtId="0" fontId="31" fillId="0" borderId="28" xfId="0" applyFont="1" applyBorder="1" applyAlignment="1">
      <alignment horizontal="right" vertical="center" wrapText="1"/>
    </xf>
    <xf numFmtId="0" fontId="30" fillId="0" borderId="67" xfId="0" applyFont="1" applyBorder="1" applyAlignment="1">
      <alignment horizontal="center" vertical="center" wrapText="1"/>
    </xf>
    <xf numFmtId="0" fontId="15" fillId="15" borderId="67" xfId="0" applyFont="1" applyFill="1" applyBorder="1" applyAlignment="1">
      <alignment horizontal="center" vertical="center" wrapText="1"/>
    </xf>
    <xf numFmtId="164" fontId="15" fillId="10" borderId="67" xfId="0" applyNumberFormat="1" applyFont="1" applyFill="1" applyBorder="1" applyAlignment="1" applyProtection="1">
      <alignment horizontal="center" vertical="center" wrapText="1"/>
      <protection locked="0"/>
    </xf>
    <xf numFmtId="0" fontId="16" fillId="15" borderId="67" xfId="0" applyFont="1" applyFill="1" applyBorder="1" applyAlignment="1">
      <alignment horizontal="left" vertical="center" wrapText="1"/>
    </xf>
    <xf numFmtId="164" fontId="15" fillId="10" borderId="67" xfId="0" applyNumberFormat="1" applyFont="1" applyFill="1" applyBorder="1" applyAlignment="1">
      <alignment horizontal="center" vertical="center" wrapText="1"/>
    </xf>
    <xf numFmtId="0" fontId="1" fillId="10" borderId="73" xfId="0" applyFont="1" applyFill="1" applyBorder="1" applyAlignment="1" applyProtection="1">
      <alignment horizontal="justify" vertical="center" wrapText="1"/>
      <protection locked="0"/>
    </xf>
    <xf numFmtId="0" fontId="1" fillId="10" borderId="16" xfId="0" applyFont="1" applyFill="1" applyBorder="1" applyAlignment="1" applyProtection="1">
      <alignment horizontal="justify" vertical="center" wrapText="1"/>
      <protection locked="0"/>
    </xf>
    <xf numFmtId="0" fontId="1" fillId="10" borderId="11" xfId="0" applyFont="1" applyFill="1" applyBorder="1" applyAlignment="1" applyProtection="1">
      <alignment horizontal="justify" vertical="center" wrapText="1"/>
      <protection locked="0"/>
    </xf>
    <xf numFmtId="0" fontId="19" fillId="9" borderId="73" xfId="0" applyFont="1" applyFill="1" applyBorder="1" applyAlignment="1" applyProtection="1">
      <alignment horizontal="left" vertical="center" wrapText="1"/>
      <protection locked="0"/>
    </xf>
    <xf numFmtId="0" fontId="19" fillId="9" borderId="16" xfId="0" applyFont="1" applyFill="1" applyBorder="1" applyAlignment="1" applyProtection="1">
      <alignment horizontal="left" vertical="center" wrapText="1"/>
      <protection locked="0"/>
    </xf>
    <xf numFmtId="0" fontId="19" fillId="9" borderId="11" xfId="0" applyFont="1" applyFill="1" applyBorder="1" applyAlignment="1" applyProtection="1">
      <alignment horizontal="left" vertical="center" wrapText="1"/>
      <protection locked="0"/>
    </xf>
    <xf numFmtId="0" fontId="13" fillId="8" borderId="67" xfId="0" applyFont="1" applyFill="1" applyBorder="1" applyAlignment="1">
      <alignment horizontal="center" vertical="center" wrapText="1"/>
    </xf>
    <xf numFmtId="0" fontId="1" fillId="10" borderId="12" xfId="0" applyFont="1" applyFill="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67" xfId="0" applyFont="1" applyBorder="1" applyAlignment="1" applyProtection="1">
      <alignment horizontal="center" vertical="center" wrapText="1"/>
      <protection locked="0"/>
    </xf>
    <xf numFmtId="0" fontId="1" fillId="0" borderId="73"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10" borderId="12" xfId="0" applyFont="1" applyFill="1" applyBorder="1" applyAlignment="1">
      <alignment horizontal="center" vertical="center" wrapText="1"/>
    </xf>
    <xf numFmtId="0" fontId="1" fillId="10" borderId="67" xfId="0" applyFont="1" applyFill="1" applyBorder="1" applyAlignment="1">
      <alignment horizontal="center" vertical="center" wrapText="1"/>
    </xf>
    <xf numFmtId="0" fontId="1" fillId="9" borderId="73" xfId="0" applyFont="1" applyFill="1" applyBorder="1" applyAlignment="1" applyProtection="1">
      <alignment horizontal="left" vertical="center" wrapText="1"/>
      <protection locked="0"/>
    </xf>
    <xf numFmtId="0" fontId="1" fillId="9" borderId="16" xfId="0" applyFont="1" applyFill="1" applyBorder="1" applyAlignment="1" applyProtection="1">
      <alignment horizontal="left" vertical="center" wrapText="1"/>
      <protection locked="0"/>
    </xf>
    <xf numFmtId="0" fontId="1" fillId="9" borderId="11" xfId="0" applyFont="1" applyFill="1" applyBorder="1" applyAlignment="1" applyProtection="1">
      <alignment horizontal="left" vertical="center" wrapText="1"/>
      <protection locked="0"/>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0" borderId="31"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1" fillId="0" borderId="31"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67" xfId="0" applyFont="1" applyBorder="1" applyAlignment="1" applyProtection="1">
      <alignment horizontal="center" vertical="center"/>
      <protection locked="0"/>
    </xf>
    <xf numFmtId="0" fontId="1" fillId="10" borderId="75" xfId="0" applyFont="1" applyFill="1" applyBorder="1" applyAlignment="1" applyProtection="1">
      <alignment horizontal="justify" vertical="center" wrapText="1"/>
      <protection locked="0"/>
    </xf>
    <xf numFmtId="0" fontId="19" fillId="9" borderId="75" xfId="0" applyFont="1" applyFill="1" applyBorder="1" applyAlignment="1" applyProtection="1">
      <alignment horizontal="left" vertical="center" wrapText="1"/>
      <protection locked="0"/>
    </xf>
    <xf numFmtId="0" fontId="1" fillId="9" borderId="8" xfId="0" applyFont="1" applyFill="1" applyBorder="1" applyAlignment="1" applyProtection="1">
      <alignment horizontal="justify" vertical="center" wrapText="1"/>
      <protection locked="0"/>
    </xf>
    <xf numFmtId="0" fontId="1" fillId="9" borderId="61" xfId="0" applyFont="1" applyFill="1" applyBorder="1" applyAlignment="1" applyProtection="1">
      <alignment horizontal="justify" vertical="center" wrapText="1"/>
      <protection locked="0"/>
    </xf>
    <xf numFmtId="0" fontId="1" fillId="9" borderId="25" xfId="0" applyFont="1" applyFill="1" applyBorder="1" applyAlignment="1" applyProtection="1">
      <alignment horizontal="justify" vertical="center" wrapText="1"/>
      <protection locked="0"/>
    </xf>
    <xf numFmtId="0" fontId="1" fillId="9" borderId="16" xfId="0" applyFont="1" applyFill="1" applyBorder="1" applyAlignment="1" applyProtection="1">
      <alignment horizontal="justify" vertical="center" wrapText="1"/>
      <protection locked="0"/>
    </xf>
    <xf numFmtId="0" fontId="1" fillId="9" borderId="11" xfId="0" applyFont="1" applyFill="1" applyBorder="1" applyAlignment="1" applyProtection="1">
      <alignment horizontal="justify" vertical="center" wrapText="1"/>
      <protection locked="0"/>
    </xf>
    <xf numFmtId="0" fontId="1" fillId="0" borderId="61" xfId="0" applyFont="1" applyBorder="1" applyAlignment="1" applyProtection="1">
      <alignment horizontal="center" vertical="center" wrapText="1"/>
      <protection locked="0"/>
    </xf>
    <xf numFmtId="0" fontId="1" fillId="10" borderId="61" xfId="0" applyFont="1" applyFill="1" applyBorder="1" applyAlignment="1" applyProtection="1">
      <alignment horizontal="center" vertical="center" wrapText="1"/>
      <protection locked="0"/>
    </xf>
    <xf numFmtId="0" fontId="12" fillId="13" borderId="70" xfId="0" applyFont="1" applyFill="1" applyBorder="1" applyAlignment="1">
      <alignment horizontal="center" vertical="center" wrapText="1"/>
    </xf>
    <xf numFmtId="0" fontId="12" fillId="13" borderId="68" xfId="0" applyFont="1" applyFill="1" applyBorder="1" applyAlignment="1">
      <alignment horizontal="center" vertical="center"/>
    </xf>
    <xf numFmtId="0" fontId="12" fillId="13" borderId="69" xfId="0" applyFont="1" applyFill="1" applyBorder="1" applyAlignment="1">
      <alignment horizontal="center" vertical="center"/>
    </xf>
    <xf numFmtId="0" fontId="12" fillId="13" borderId="70" xfId="0" applyFont="1" applyFill="1" applyBorder="1" applyAlignment="1">
      <alignment horizontal="center" vertical="center"/>
    </xf>
    <xf numFmtId="0" fontId="12" fillId="13" borderId="69" xfId="0" applyFont="1" applyFill="1" applyBorder="1" applyAlignment="1">
      <alignment horizontal="center" vertical="center" wrapText="1"/>
    </xf>
    <xf numFmtId="0" fontId="12" fillId="13" borderId="21" xfId="0" applyFont="1" applyFill="1" applyBorder="1" applyAlignment="1">
      <alignment horizontal="center" vertical="center" wrapText="1"/>
    </xf>
    <xf numFmtId="0" fontId="12" fillId="13" borderId="22" xfId="0" applyFont="1" applyFill="1" applyBorder="1" applyAlignment="1">
      <alignment horizontal="center" vertical="center" wrapText="1"/>
    </xf>
    <xf numFmtId="0" fontId="12" fillId="13" borderId="23" xfId="0" applyFont="1" applyFill="1" applyBorder="1" applyAlignment="1">
      <alignment horizontal="center" vertical="center" wrapText="1"/>
    </xf>
    <xf numFmtId="0" fontId="12" fillId="13" borderId="13" xfId="0" applyFont="1" applyFill="1" applyBorder="1" applyAlignment="1">
      <alignment horizontal="center" vertical="center" wrapText="1"/>
    </xf>
    <xf numFmtId="0" fontId="12" fillId="13" borderId="14" xfId="0" applyFont="1" applyFill="1" applyBorder="1" applyAlignment="1">
      <alignment horizontal="center" vertical="center" wrapText="1"/>
    </xf>
    <xf numFmtId="0" fontId="12" fillId="13" borderId="15" xfId="0" applyFont="1" applyFill="1" applyBorder="1" applyAlignment="1">
      <alignment horizontal="center" vertical="center" wrapText="1"/>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1" fillId="0" borderId="54" xfId="0" applyFont="1" applyBorder="1" applyAlignment="1" applyProtection="1">
      <alignment horizontal="center" vertical="center" wrapText="1"/>
      <protection locked="0"/>
    </xf>
    <xf numFmtId="0" fontId="1" fillId="0" borderId="55" xfId="0" applyFont="1" applyBorder="1" applyAlignment="1" applyProtection="1">
      <alignment horizontal="center" vertical="center" wrapText="1"/>
      <protection locked="0"/>
    </xf>
    <xf numFmtId="0" fontId="1" fillId="0" borderId="56" xfId="0" applyFont="1" applyBorder="1" applyAlignment="1" applyProtection="1">
      <alignment horizontal="center" vertical="center" wrapText="1"/>
      <protection locked="0"/>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67" xfId="0" applyFont="1" applyBorder="1" applyAlignment="1" applyProtection="1">
      <alignment horizontal="center"/>
      <protection locked="0"/>
    </xf>
    <xf numFmtId="0" fontId="1" fillId="8" borderId="12" xfId="0" applyFont="1" applyFill="1" applyBorder="1" applyAlignment="1" applyProtection="1">
      <alignment horizontal="center" vertical="center" wrapText="1"/>
      <protection locked="0"/>
    </xf>
    <xf numFmtId="0" fontId="1" fillId="8" borderId="67" xfId="0" applyFont="1" applyFill="1" applyBorder="1" applyAlignment="1" applyProtection="1">
      <alignment horizontal="center" vertical="center" wrapText="1"/>
      <protection locked="0"/>
    </xf>
    <xf numFmtId="0" fontId="1" fillId="0" borderId="31" xfId="0" applyFont="1" applyBorder="1" applyAlignment="1" applyProtection="1">
      <alignment horizontal="center"/>
      <protection locked="0"/>
    </xf>
    <xf numFmtId="0" fontId="1" fillId="0" borderId="17" xfId="0" applyFont="1" applyBorder="1" applyAlignment="1" applyProtection="1">
      <alignment horizontal="center"/>
      <protection locked="0"/>
    </xf>
    <xf numFmtId="0" fontId="1" fillId="9" borderId="73" xfId="0" applyFont="1" applyFill="1" applyBorder="1" applyAlignment="1" applyProtection="1">
      <alignment horizontal="center" vertical="center" wrapText="1"/>
      <protection locked="0"/>
    </xf>
    <xf numFmtId="0" fontId="1" fillId="9" borderId="16" xfId="0" applyFont="1" applyFill="1" applyBorder="1" applyAlignment="1" applyProtection="1">
      <alignment horizontal="center" vertical="center" wrapText="1"/>
      <protection locked="0"/>
    </xf>
    <xf numFmtId="0" fontId="1" fillId="9" borderId="12" xfId="0" applyFont="1" applyFill="1" applyBorder="1" applyAlignment="1" applyProtection="1">
      <alignment horizontal="center" vertical="center" wrapText="1"/>
      <protection locked="0"/>
    </xf>
    <xf numFmtId="0" fontId="1" fillId="9" borderId="4" xfId="0" applyFont="1" applyFill="1" applyBorder="1" applyAlignment="1" applyProtection="1">
      <alignment horizontal="center" vertical="center" wrapText="1"/>
      <protection locked="0"/>
    </xf>
    <xf numFmtId="0" fontId="1" fillId="9" borderId="67" xfId="0" applyFont="1" applyFill="1" applyBorder="1" applyAlignment="1" applyProtection="1">
      <alignment horizontal="center" vertical="center" wrapText="1"/>
      <protection locked="0"/>
    </xf>
    <xf numFmtId="0" fontId="1" fillId="9" borderId="8" xfId="0" applyFont="1" applyFill="1" applyBorder="1" applyAlignment="1" applyProtection="1">
      <alignment horizontal="center" vertical="center" wrapText="1"/>
      <protection locked="0"/>
    </xf>
    <xf numFmtId="0" fontId="1" fillId="8" borderId="11" xfId="0" applyFont="1" applyFill="1" applyBorder="1" applyAlignment="1">
      <alignment horizontal="center" vertical="center" wrapText="1"/>
    </xf>
    <xf numFmtId="0" fontId="1" fillId="8" borderId="8" xfId="0" applyFont="1" applyFill="1" applyBorder="1" applyAlignment="1" applyProtection="1">
      <alignment horizontal="center" vertical="center" wrapText="1"/>
      <protection locked="0"/>
    </xf>
    <xf numFmtId="0" fontId="1" fillId="0" borderId="2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3" fillId="8" borderId="25" xfId="0" applyFont="1" applyFill="1" applyBorder="1" applyAlignment="1">
      <alignment horizontal="center" vertical="center" wrapText="1"/>
    </xf>
    <xf numFmtId="0" fontId="13" fillId="8" borderId="11"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0" borderId="68" xfId="0" applyFont="1" applyBorder="1" applyAlignment="1">
      <alignment horizontal="center" vertical="center" wrapText="1"/>
    </xf>
    <xf numFmtId="0" fontId="35" fillId="13" borderId="71" xfId="0" applyFont="1" applyFill="1" applyBorder="1" applyAlignment="1">
      <alignment horizontal="center" vertical="center"/>
    </xf>
    <xf numFmtId="0" fontId="35" fillId="13" borderId="72" xfId="0" applyFont="1" applyFill="1" applyBorder="1" applyAlignment="1">
      <alignment horizontal="center" vertical="center"/>
    </xf>
    <xf numFmtId="0" fontId="35" fillId="13" borderId="74" xfId="0" applyFont="1" applyFill="1" applyBorder="1" applyAlignment="1">
      <alignment horizontal="center" vertical="center"/>
    </xf>
    <xf numFmtId="0" fontId="35" fillId="13" borderId="57" xfId="0" applyFont="1" applyFill="1" applyBorder="1" applyAlignment="1">
      <alignment horizontal="center" vertical="center"/>
    </xf>
    <xf numFmtId="0" fontId="35" fillId="13" borderId="40" xfId="0" applyFont="1" applyFill="1" applyBorder="1" applyAlignment="1">
      <alignment horizontal="center" vertical="center"/>
    </xf>
    <xf numFmtId="0" fontId="35" fillId="13" borderId="51" xfId="0" applyFont="1" applyFill="1" applyBorder="1" applyAlignment="1">
      <alignment horizontal="center" vertical="center"/>
    </xf>
    <xf numFmtId="0" fontId="1" fillId="9" borderId="25" xfId="0" applyFont="1" applyFill="1" applyBorder="1" applyAlignment="1" applyProtection="1">
      <alignment horizontal="center" vertical="center" wrapText="1"/>
      <protection locked="0"/>
    </xf>
    <xf numFmtId="0" fontId="1" fillId="9" borderId="11" xfId="0" applyFont="1" applyFill="1" applyBorder="1" applyAlignment="1" applyProtection="1">
      <alignment horizontal="center" vertical="center" wrapText="1"/>
      <protection locked="0"/>
    </xf>
    <xf numFmtId="0" fontId="1" fillId="8" borderId="4" xfId="0" applyFont="1" applyFill="1" applyBorder="1" applyAlignment="1" applyProtection="1">
      <alignment horizontal="center" vertical="center" wrapText="1"/>
      <protection locked="0"/>
    </xf>
    <xf numFmtId="0" fontId="33" fillId="21" borderId="40" xfId="0" applyFont="1" applyFill="1" applyBorder="1" applyAlignment="1">
      <alignment horizontal="center"/>
    </xf>
    <xf numFmtId="0" fontId="33" fillId="21" borderId="68" xfId="0" applyFont="1" applyFill="1" applyBorder="1" applyAlignment="1">
      <alignment horizontal="center"/>
    </xf>
    <xf numFmtId="0" fontId="33" fillId="21" borderId="69" xfId="0" applyFont="1" applyFill="1" applyBorder="1" applyAlignment="1">
      <alignment horizontal="center"/>
    </xf>
    <xf numFmtId="0" fontId="33" fillId="21" borderId="70" xfId="0" applyFont="1" applyFill="1" applyBorder="1" applyAlignment="1">
      <alignment horizontal="center"/>
    </xf>
    <xf numFmtId="0" fontId="37" fillId="22" borderId="21" xfId="0" applyFont="1" applyFill="1" applyBorder="1" applyAlignment="1" applyProtection="1">
      <alignment horizontal="center"/>
      <protection hidden="1"/>
    </xf>
    <xf numFmtId="0" fontId="37" fillId="22" borderId="22" xfId="0" applyFont="1" applyFill="1" applyBorder="1" applyAlignment="1" applyProtection="1">
      <alignment horizontal="center"/>
      <protection hidden="1"/>
    </xf>
    <xf numFmtId="0" fontId="37" fillId="22" borderId="23" xfId="0" applyFont="1" applyFill="1" applyBorder="1" applyAlignment="1" applyProtection="1">
      <alignment horizontal="center"/>
      <protection hidden="1"/>
    </xf>
    <xf numFmtId="0" fontId="38" fillId="23" borderId="7" xfId="0" applyFont="1" applyFill="1" applyBorder="1" applyAlignment="1" applyProtection="1">
      <alignment horizontal="center"/>
      <protection hidden="1"/>
    </xf>
    <xf numFmtId="0" fontId="38" fillId="23" borderId="8" xfId="0" applyFont="1" applyFill="1" applyBorder="1" applyAlignment="1" applyProtection="1">
      <alignment horizontal="center"/>
      <protection hidden="1"/>
    </xf>
    <xf numFmtId="0" fontId="0" fillId="18" borderId="21" xfId="0" applyFill="1" applyBorder="1" applyAlignment="1">
      <alignment horizontal="center" wrapText="1"/>
    </xf>
    <xf numFmtId="0" fontId="0" fillId="18" borderId="22" xfId="0" applyFill="1" applyBorder="1" applyAlignment="1">
      <alignment horizontal="center" wrapText="1"/>
    </xf>
    <xf numFmtId="0" fontId="0" fillId="18" borderId="23" xfId="0" applyFill="1" applyBorder="1" applyAlignment="1">
      <alignment horizontal="center" wrapText="1"/>
    </xf>
    <xf numFmtId="0" fontId="0" fillId="18" borderId="13" xfId="0" applyFill="1" applyBorder="1" applyAlignment="1">
      <alignment horizontal="center" wrapText="1"/>
    </xf>
    <xf numFmtId="0" fontId="0" fillId="18" borderId="14" xfId="0" applyFill="1" applyBorder="1" applyAlignment="1">
      <alignment horizontal="center" wrapText="1"/>
    </xf>
    <xf numFmtId="0" fontId="0" fillId="18" borderId="15" xfId="0" applyFill="1" applyBorder="1" applyAlignment="1">
      <alignment horizontal="center" wrapText="1"/>
    </xf>
    <xf numFmtId="0" fontId="0" fillId="19" borderId="34" xfId="0" applyFill="1" applyBorder="1" applyAlignment="1">
      <alignment horizontal="center" vertical="center" wrapText="1"/>
    </xf>
    <xf numFmtId="0" fontId="0" fillId="19" borderId="35" xfId="0" applyFill="1" applyBorder="1" applyAlignment="1">
      <alignment horizontal="center" vertical="center" wrapText="1"/>
    </xf>
    <xf numFmtId="0" fontId="0" fillId="19" borderId="36" xfId="0" applyFill="1" applyBorder="1" applyAlignment="1">
      <alignment horizontal="center" vertical="center" wrapText="1"/>
    </xf>
    <xf numFmtId="0" fontId="27" fillId="19" borderId="21" xfId="0" applyFont="1" applyFill="1" applyBorder="1" applyAlignment="1">
      <alignment horizontal="center" wrapText="1"/>
    </xf>
    <xf numFmtId="0" fontId="27" fillId="19" borderId="22" xfId="0" applyFont="1" applyFill="1" applyBorder="1" applyAlignment="1">
      <alignment horizontal="center" wrapText="1"/>
    </xf>
    <xf numFmtId="0" fontId="27" fillId="19" borderId="23" xfId="0" applyFont="1" applyFill="1" applyBorder="1" applyAlignment="1">
      <alignment horizontal="center" wrapText="1"/>
    </xf>
    <xf numFmtId="0" fontId="27" fillId="19" borderId="37" xfId="0" applyFont="1" applyFill="1" applyBorder="1" applyAlignment="1">
      <alignment horizontal="center" wrapText="1"/>
    </xf>
    <xf numFmtId="0" fontId="27" fillId="19" borderId="0" xfId="0" applyFont="1" applyFill="1" applyAlignment="1">
      <alignment horizontal="center" wrapText="1"/>
    </xf>
    <xf numFmtId="0" fontId="27" fillId="19" borderId="38" xfId="0" applyFont="1" applyFill="1" applyBorder="1" applyAlignment="1">
      <alignment horizontal="center" wrapText="1"/>
    </xf>
    <xf numFmtId="0" fontId="27" fillId="19" borderId="13" xfId="0" applyFont="1" applyFill="1" applyBorder="1" applyAlignment="1">
      <alignment horizontal="center" wrapText="1"/>
    </xf>
    <xf numFmtId="0" fontId="27" fillId="19" borderId="14" xfId="0" applyFont="1" applyFill="1" applyBorder="1" applyAlignment="1">
      <alignment horizontal="center" wrapText="1"/>
    </xf>
    <xf numFmtId="0" fontId="27" fillId="19" borderId="15" xfId="0" applyFont="1" applyFill="1" applyBorder="1" applyAlignment="1">
      <alignment horizontal="center" wrapText="1"/>
    </xf>
    <xf numFmtId="0" fontId="4" fillId="6" borderId="67" xfId="3" applyFont="1" applyFill="1" applyBorder="1" applyAlignment="1">
      <alignment horizontal="center" vertical="center"/>
    </xf>
    <xf numFmtId="0" fontId="6" fillId="0" borderId="67" xfId="3" applyFont="1" applyBorder="1" applyAlignment="1">
      <alignment horizontal="center" vertical="center" wrapText="1"/>
    </xf>
    <xf numFmtId="0" fontId="4" fillId="5" borderId="67" xfId="3" applyFont="1" applyFill="1" applyBorder="1" applyAlignment="1">
      <alignment horizontal="center" vertical="center"/>
    </xf>
    <xf numFmtId="0" fontId="4" fillId="4" borderId="67" xfId="3" applyFont="1" applyFill="1" applyBorder="1" applyAlignment="1">
      <alignment horizontal="center" vertical="center"/>
    </xf>
    <xf numFmtId="0" fontId="9" fillId="0" borderId="0" xfId="3" applyFont="1" applyAlignment="1">
      <alignment horizontal="center" vertical="center" wrapText="1"/>
    </xf>
    <xf numFmtId="0" fontId="9" fillId="0" borderId="0" xfId="3" applyFont="1" applyAlignment="1">
      <alignment horizontal="center" wrapText="1"/>
    </xf>
    <xf numFmtId="0" fontId="4" fillId="2" borderId="0" xfId="3" applyFont="1" applyFill="1" applyAlignment="1">
      <alignment horizontal="center" vertical="center"/>
    </xf>
    <xf numFmtId="0" fontId="4" fillId="12" borderId="67" xfId="3" applyFont="1" applyFill="1" applyBorder="1" applyAlignment="1">
      <alignment horizontal="center" vertical="center"/>
    </xf>
    <xf numFmtId="0" fontId="4" fillId="3" borderId="67" xfId="3" applyFont="1" applyFill="1" applyBorder="1" applyAlignment="1">
      <alignment horizontal="center" vertical="center"/>
    </xf>
    <xf numFmtId="0" fontId="4" fillId="11" borderId="0" xfId="3" applyFont="1" applyFill="1" applyAlignment="1">
      <alignment horizontal="center" vertical="center" textRotation="90"/>
    </xf>
    <xf numFmtId="166" fontId="0" fillId="0" borderId="0" xfId="7" applyNumberFormat="1" applyFont="1"/>
    <xf numFmtId="166" fontId="0" fillId="0" borderId="0" xfId="0" applyNumberFormat="1"/>
    <xf numFmtId="0" fontId="46" fillId="10" borderId="81" xfId="0" applyFont="1" applyFill="1" applyBorder="1" applyAlignment="1">
      <alignment horizontal="center" vertical="center" wrapText="1"/>
    </xf>
    <xf numFmtId="0" fontId="46" fillId="10" borderId="16" xfId="0" applyFont="1" applyFill="1" applyBorder="1" applyAlignment="1">
      <alignment horizontal="center" vertical="center" wrapText="1"/>
    </xf>
    <xf numFmtId="0" fontId="46" fillId="10" borderId="12" xfId="0" applyFont="1" applyFill="1" applyBorder="1" applyAlignment="1">
      <alignment horizontal="center" vertical="center" wrapText="1"/>
    </xf>
    <xf numFmtId="0" fontId="46" fillId="0" borderId="94" xfId="0" applyFont="1" applyBorder="1" applyAlignment="1">
      <alignment horizontal="justify" vertical="center" wrapText="1"/>
    </xf>
    <xf numFmtId="0" fontId="46" fillId="0" borderId="11" xfId="0" applyFont="1" applyBorder="1" applyAlignment="1">
      <alignment horizontal="justify" vertical="center" wrapText="1"/>
    </xf>
    <xf numFmtId="0" fontId="46" fillId="10" borderId="78" xfId="0" applyFont="1" applyFill="1" applyBorder="1" applyAlignment="1">
      <alignment horizontal="justify" vertical="center" wrapText="1"/>
    </xf>
    <xf numFmtId="0" fontId="46" fillId="10" borderId="16" xfId="0" applyFont="1" applyFill="1" applyBorder="1" applyAlignment="1">
      <alignment horizontal="justify" vertical="center" wrapText="1"/>
    </xf>
    <xf numFmtId="0" fontId="46" fillId="10" borderId="12" xfId="0" applyFont="1" applyFill="1" applyBorder="1" applyAlignment="1">
      <alignment horizontal="justify" vertical="center" wrapText="1"/>
    </xf>
  </cellXfs>
  <cellStyles count="8">
    <cellStyle name="Excel Built-in Normal" xfId="3" xr:uid="{00000000-0005-0000-0000-000000000000}"/>
    <cellStyle name="Moneda" xfId="7" builtinId="4"/>
    <cellStyle name="Normal" xfId="0" builtinId="0"/>
    <cellStyle name="Normal 2" xfId="2" xr:uid="{00000000-0005-0000-0000-000002000000}"/>
    <cellStyle name="Normal 3" xfId="1" xr:uid="{00000000-0005-0000-0000-000003000000}"/>
    <cellStyle name="Normal 4" xfId="4" xr:uid="{00000000-0005-0000-0000-000004000000}"/>
    <cellStyle name="Normal 5" xfId="6" xr:uid="{00000000-0005-0000-0000-000005000000}"/>
    <cellStyle name="Porcentaje" xfId="5" builtinId="5"/>
  </cellStyles>
  <dxfs count="69">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alignment horizontal="general" vertical="bottom" textRotation="0" wrapText="1" indent="0" justifyLastLine="0" shrinkToFit="0" readingOrder="0"/>
    </dxf>
  </dxfs>
  <tableStyles count="0" defaultTableStyle="TableStyleMedium2" defaultPivotStyle="PivotStyleLight16"/>
  <colors>
    <mruColors>
      <color rgb="FF00CC99"/>
      <color rgb="FFE2ECFD"/>
      <color rgb="FF3366CC"/>
      <color rgb="FF0000FF"/>
      <color rgb="FF66FF33"/>
      <color rgb="FFD7EBF7"/>
      <color rgb="FFD4F8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styles" Target="styles.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theme" Target="theme/theme1.xml"/><Relationship Id="rId46" Type="http://schemas.openxmlformats.org/officeDocument/2006/relationships/customXml" Target="../customXml/item4.xml"/><Relationship Id="rId20" Type="http://schemas.openxmlformats.org/officeDocument/2006/relationships/externalLink" Target="externalLinks/externalLink8.xml"/><Relationship Id="rId41"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241481</xdr:colOff>
      <xdr:row>0</xdr:row>
      <xdr:rowOff>0</xdr:rowOff>
    </xdr:from>
    <xdr:to>
      <xdr:col>2</xdr:col>
      <xdr:colOff>1632086</xdr:colOff>
      <xdr:row>1</xdr:row>
      <xdr:rowOff>402465</xdr:rowOff>
    </xdr:to>
    <xdr:pic>
      <xdr:nvPicPr>
        <xdr:cNvPr id="3" name="Imagen 2">
          <a:extLst>
            <a:ext uri="{FF2B5EF4-FFF2-40B4-BE49-F238E27FC236}">
              <a16:creationId xmlns:a16="http://schemas.microsoft.com/office/drawing/2014/main" id="{F8AB148D-9F99-4805-AB9B-7A3BA649A9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1481" y="0"/>
          <a:ext cx="3952964" cy="9793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608</xdr:rowOff>
    </xdr:from>
    <xdr:to>
      <xdr:col>2</xdr:col>
      <xdr:colOff>1341550</xdr:colOff>
      <xdr:row>1</xdr:row>
      <xdr:rowOff>390919</xdr:rowOff>
    </xdr:to>
    <xdr:pic>
      <xdr:nvPicPr>
        <xdr:cNvPr id="2" name="Imagen 1">
          <a:extLst>
            <a:ext uri="{FF2B5EF4-FFF2-40B4-BE49-F238E27FC236}">
              <a16:creationId xmlns:a16="http://schemas.microsoft.com/office/drawing/2014/main" id="{B5165795-F5FF-475C-9F2C-02B4F2F0CA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608"/>
          <a:ext cx="3903908" cy="9671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67076</xdr:colOff>
      <xdr:row>0</xdr:row>
      <xdr:rowOff>0</xdr:rowOff>
    </xdr:from>
    <xdr:to>
      <xdr:col>2</xdr:col>
      <xdr:colOff>1837922</xdr:colOff>
      <xdr:row>2</xdr:row>
      <xdr:rowOff>339426</xdr:rowOff>
    </xdr:to>
    <xdr:pic>
      <xdr:nvPicPr>
        <xdr:cNvPr id="3" name="Imagen 2">
          <a:extLst>
            <a:ext uri="{FF2B5EF4-FFF2-40B4-BE49-F238E27FC236}">
              <a16:creationId xmlns:a16="http://schemas.microsoft.com/office/drawing/2014/main" id="{AE9BFC74-77BB-4278-88DE-11EA0E6FE0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076" y="0"/>
          <a:ext cx="4333205" cy="10906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47626</xdr:colOff>
      <xdr:row>0</xdr:row>
      <xdr:rowOff>0</xdr:rowOff>
    </xdr:from>
    <xdr:to>
      <xdr:col>3</xdr:col>
      <xdr:colOff>600076</xdr:colOff>
      <xdr:row>2</xdr:row>
      <xdr:rowOff>166469</xdr:rowOff>
    </xdr:to>
    <xdr:pic>
      <xdr:nvPicPr>
        <xdr:cNvPr id="2" name="Imagen 1">
          <a:extLst>
            <a:ext uri="{FF2B5EF4-FFF2-40B4-BE49-F238E27FC236}">
              <a16:creationId xmlns:a16="http://schemas.microsoft.com/office/drawing/2014/main" id="{FBE39CC2-E377-43C9-BB90-04EF8AFD2B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1626" y="0"/>
          <a:ext cx="2209800" cy="5474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1047750</xdr:colOff>
      <xdr:row>0</xdr:row>
      <xdr:rowOff>123825</xdr:rowOff>
    </xdr:from>
    <xdr:to>
      <xdr:col>4</xdr:col>
      <xdr:colOff>923925</xdr:colOff>
      <xdr:row>4</xdr:row>
      <xdr:rowOff>131423</xdr:rowOff>
    </xdr:to>
    <xdr:pic>
      <xdr:nvPicPr>
        <xdr:cNvPr id="2" name="Imagen 1">
          <a:extLst>
            <a:ext uri="{FF2B5EF4-FFF2-40B4-BE49-F238E27FC236}">
              <a16:creationId xmlns:a16="http://schemas.microsoft.com/office/drawing/2014/main" id="{4CBE616C-E31D-434D-9F43-D1A300C891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3750" y="123825"/>
          <a:ext cx="3057525" cy="7695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pyate/Downloads/MC-FO-07%20MAPA%20DE%20RIEGOS%20DEL%20PROCESO%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SECAR/Downloads/2.%20Mapa%20de%20riesgos%20DIRyPLA__%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DIGITAL%20EXITO\Downloads\Riesgos%20Gestio&#769;n%20Financiera%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DIGITAL%20EXITO\Downloads\Riesgos%20Asuntos%20Internacional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strid/2023/Abril/Mapa%20de%20riesgos%20gesti&#243;n%202023_Continuidad.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D:\Users\mauord\Downloads\DESCARGAS%20NAVEGADOR%20EDGE\2023-08-25.%20Mapa%20de%20riesgos%20gesti&#243;n%20DMASC.xlsx" TargetMode="External"/><Relationship Id="rId1" Type="http://schemas.openxmlformats.org/officeDocument/2006/relationships/externalLinkPath" Target="file:///D:\Users\mauord\Downloads\DESCARGAS%20NAVEGADOR%20EDGE\2023-08-25.%20Mapa%20de%20riesgos%20gesti&#243;n%20DMAS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na%20sofia/Downloads/RIESGO%20GRUPO%20GESTI&#211;N%20DOCUMENTAL%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iguelito/Downloads/Matriz%20de%20riesgos_Proceso%20GG_2306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iguelito/Downloads/DDDOJ%20190820%20Formato%20de%20Riesgos%20VF1%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iguelito/Downloads/Mapa%20de%20Riesgos_PROCESO%20SEGUIMIENTO%20Y%20EVALUACI&#211;N%20(1)%2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iguelito/Downloads/Riesgos%20de%20Formulaci&#243;n%20(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Miguelito/Downloads/Riesgos%20Contractual%2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Miguelito/Downloads/Riesgos%20Prensa%20(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Miguelito/Downloads/Riesgos%20Proyectos%20Normativos%20(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Miguelito/Downloads/10.%20Mapa%20de%20Riesgos%20Gesti&#243;n%20Juridic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Miguelito/Downloads/Gesti&#243;n%20contra%20la%20criminalidad_SRPA-SPenintenciarioC.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Miguelito/Downloads/Riesgos%20Drogas_1%2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Miguelito/Downloads/Riesgos%20Gesti&#243;n%20Humana%20(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Miguelito/Downloads/Formato%20matriz%20de%20riesgos_Gesti&#243;n%20Mejora%20Institucional_07102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Miguelito/Downloads/PLANES%20Formato%20de%20Riesgos%20VF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Miguelito/Downloads/Riesgos%20Gesti&#243;n%20Humana%20oct%202020%20(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minjusticiagovco-my.sharepoint.com/personal/mjrodriguez_minjusticia_gov_co/Documents/MATRIZ%20DE%20RIESGOS/VIGENCIA%202021/SEGUNDO%20CUATRIMESTRE/SEGUIMIENTO%20MATRIZ%20DE%20RIESGO/Riesgos%20OAP%20(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minjusticiagovco-my.sharepoint.com/personal/mjrodriguez_minjusticia_gov_co/Documents/MATRIZ%20DE%20RIESGOS/VIGENCIA%202021/SEGUNDO%20CUATRIMESTRE/SEGUIMIENTO%20MATRIZ%20DE%20RIESGO/Mapa%20de%20Riesgos%20DIRECCIONAMIENTO%20(3).xlsx" TargetMode="External"/></Relationships>
</file>

<file path=xl/externalLinks/_rels/externalLink24.xml.rels><?xml version="1.0" encoding="UTF-8" standalone="yes"?>
<Relationships xmlns="http://schemas.openxmlformats.org/package/2006/relationships"><Relationship Id="rId2" Type="http://schemas.microsoft.com/office/2019/04/relationships/externalLinkLongPath" Target="https://minjusticiagovco-my.sharepoint.com/personal/mjrodriguez_minjusticia_gov_co/Documents/MATRIZ%20DE%20RIESGOS/VIGENCIA%202021/SEGUNDO%20CUATRIMESTRE/SEGUIMIENTO%20MATRIZ%20DE%20RIESGO/MATRIZ%20RIESGOS%20GESTION%20Y%20CORRUPCI&#211;N%20FINAL%20(1).xlsx?0440F260" TargetMode="External"/><Relationship Id="rId1" Type="http://schemas.openxmlformats.org/officeDocument/2006/relationships/externalLinkPath" Target="file:///\\0440F260\MATRIZ%20RIESGOS%20GESTION%20Y%20CORRUPCI&#211;N%20FINAL%20(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C:/Users/DIGITAL%20EXITO/Downloads/Corrupci&#243;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RIESGOS"/>
      <sheetName val="T PROBABILIDAD"/>
      <sheetName val="Hoja4"/>
      <sheetName val="MATRIZ DE CALIFICACIÓN"/>
      <sheetName val="T IMPACTO"/>
      <sheetName val="Hoja1"/>
      <sheetName val="Hoja2"/>
      <sheetName val="Hoja3"/>
      <sheetName val="Hoja5"/>
      <sheetName val="Hoja6"/>
      <sheetName val="Listados"/>
      <sheetName val="Corrupción"/>
      <sheetName val="Seguridad Información"/>
    </sheetNames>
    <sheetDataSet>
      <sheetData sheetId="0" refreshError="1"/>
      <sheetData sheetId="1" refreshError="1"/>
      <sheetData sheetId="2" refreshError="1">
        <row r="3">
          <cell r="C3" t="str">
            <v>Articulación Interinstitucional</v>
          </cell>
          <cell r="D3" t="str">
            <v>Riesgo de Corrupción</v>
          </cell>
          <cell r="E3" t="str">
            <v>Raro</v>
          </cell>
          <cell r="F3" t="str">
            <v>Insignificante</v>
          </cell>
          <cell r="H3" t="str">
            <v>Preventivo</v>
          </cell>
        </row>
        <row r="4">
          <cell r="D4" t="str">
            <v>Riesgo de Cumplimiento</v>
          </cell>
          <cell r="E4" t="str">
            <v>Improbable</v>
          </cell>
          <cell r="F4" t="str">
            <v>Menor</v>
          </cell>
          <cell r="H4" t="str">
            <v>Correctivo</v>
          </cell>
        </row>
        <row r="5">
          <cell r="D5" t="str">
            <v>Riesgo de Imagen</v>
          </cell>
          <cell r="E5" t="str">
            <v>Moderada</v>
          </cell>
          <cell r="F5" t="str">
            <v>Moderado</v>
          </cell>
        </row>
        <row r="6">
          <cell r="D6" t="str">
            <v>Riesgo de Tecnología</v>
          </cell>
          <cell r="E6" t="str">
            <v>Probable</v>
          </cell>
          <cell r="F6" t="str">
            <v>Mayor</v>
          </cell>
        </row>
        <row r="7">
          <cell r="D7" t="str">
            <v>Riesgo Estratégico</v>
          </cell>
          <cell r="E7" t="str">
            <v>Casi seguro</v>
          </cell>
          <cell r="F7" t="str">
            <v>Catastrófico</v>
          </cell>
        </row>
        <row r="8">
          <cell r="D8" t="str">
            <v>Riesgo Financiero</v>
          </cell>
        </row>
        <row r="9">
          <cell r="D9" t="str">
            <v>Riesgo Operativo</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tos2"/>
      <sheetName val="Base de Datos"/>
      <sheetName val="Contexto Estratégico MJD"/>
      <sheetName val="Contexto Estratégico (2)"/>
      <sheetName val="Administración de Riesgos de G"/>
      <sheetName val="Administración de Riesgos de C"/>
    </sheetNames>
    <sheetDataSet>
      <sheetData sheetId="0"/>
      <sheetData sheetId="1">
        <row r="4">
          <cell r="A4" t="str">
            <v>ESTRATÉGICO</v>
          </cell>
        </row>
        <row r="5">
          <cell r="A5" t="str">
            <v>MISIONAL</v>
          </cell>
        </row>
        <row r="6">
          <cell r="A6" t="str">
            <v>APOYO</v>
          </cell>
        </row>
        <row r="7">
          <cell r="A7" t="str">
            <v>EVALUACIÓN</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Matriz Riesgos Gestión"/>
      <sheetName val="Matriz Riesgos Corrupción"/>
      <sheetName val="Matriz Riesgos Seg. Información"/>
      <sheetName val="Seguridad Información"/>
      <sheetName val="Probabilidad Seguridad Informac"/>
      <sheetName val="Riesgo Corrupción"/>
      <sheetName val="Corrupción"/>
      <sheetName val="CONTROLES"/>
      <sheetName val="Matriz de calificación"/>
    </sheetNames>
    <sheetDataSet>
      <sheetData sheetId="0">
        <row r="8">
          <cell r="K8" t="str">
            <v>Rara Vez</v>
          </cell>
          <cell r="L8">
            <v>1</v>
          </cell>
        </row>
        <row r="9">
          <cell r="K9" t="str">
            <v>Improbable</v>
          </cell>
          <cell r="L9">
            <v>2</v>
          </cell>
        </row>
        <row r="10">
          <cell r="K10" t="str">
            <v>Posible</v>
          </cell>
          <cell r="L10">
            <v>3</v>
          </cell>
        </row>
        <row r="11">
          <cell r="K11" t="str">
            <v>Probable</v>
          </cell>
          <cell r="L11">
            <v>4</v>
          </cell>
        </row>
        <row r="12">
          <cell r="K12" t="str">
            <v>Casi seguro</v>
          </cell>
          <cell r="L12">
            <v>5</v>
          </cell>
        </row>
      </sheetData>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Matriz Riesgos Gestión"/>
      <sheetName val="Matriz Riesgos Corrupción"/>
      <sheetName val="Matriz Riesgos Seg. Información"/>
      <sheetName val="Seguridad Información"/>
      <sheetName val="Probabilidad Seguridad Informac"/>
      <sheetName val="Riesgo Corrupción"/>
      <sheetName val="Corrupción"/>
      <sheetName val="CONTROLES"/>
      <sheetName val="Matriz de calificación"/>
    </sheetNames>
    <sheetDataSet>
      <sheetData sheetId="0">
        <row r="8">
          <cell r="K8" t="str">
            <v>Rara Vez</v>
          </cell>
          <cell r="L8">
            <v>1</v>
          </cell>
        </row>
        <row r="9">
          <cell r="K9" t="str">
            <v>Improbable</v>
          </cell>
          <cell r="L9">
            <v>2</v>
          </cell>
        </row>
        <row r="10">
          <cell r="K10" t="str">
            <v>Posible</v>
          </cell>
          <cell r="L10">
            <v>3</v>
          </cell>
        </row>
        <row r="11">
          <cell r="K11" t="str">
            <v>Probable</v>
          </cell>
          <cell r="L11">
            <v>4</v>
          </cell>
        </row>
        <row r="12">
          <cell r="K12" t="str">
            <v>Casi seguro</v>
          </cell>
          <cell r="L12">
            <v>5</v>
          </cell>
        </row>
      </sheetData>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Matriz Riesgos Gestión"/>
      <sheetName val="Matriz Riesgos Corrupción"/>
      <sheetName val="Matriz Riesgos Seg. Información"/>
      <sheetName val="Seguridad Información"/>
      <sheetName val="Probabilidad Seguridad Informac"/>
      <sheetName val="Riesgo Corrupción"/>
      <sheetName val="Corrupción"/>
      <sheetName val="CONTROLES"/>
      <sheetName val="Matriz de calificación"/>
      <sheetName val="Matriz de calificación (2)"/>
    </sheetNames>
    <sheetDataSet>
      <sheetData sheetId="0" refreshError="1">
        <row r="3">
          <cell r="B3" t="str">
            <v xml:space="preserve">Gestión del Conocimiento </v>
          </cell>
          <cell r="M3" t="str">
            <v>Rara vezInsignificante</v>
          </cell>
          <cell r="N3" t="str">
            <v>Bajo</v>
          </cell>
          <cell r="U3" t="str">
            <v>FuerteFuerte</v>
          </cell>
          <cell r="V3" t="str">
            <v>Fuerte</v>
          </cell>
        </row>
        <row r="4">
          <cell r="M4" t="str">
            <v>Rara vezMenor</v>
          </cell>
          <cell r="N4" t="str">
            <v>Bajo</v>
          </cell>
          <cell r="U4" t="str">
            <v>FuerteModerado</v>
          </cell>
          <cell r="V4" t="str">
            <v>Moderado</v>
          </cell>
        </row>
        <row r="5">
          <cell r="M5" t="str">
            <v>Rara vezModerado</v>
          </cell>
          <cell r="N5" t="str">
            <v>Moderado</v>
          </cell>
          <cell r="U5" t="str">
            <v>FuerteDébil</v>
          </cell>
          <cell r="V5" t="str">
            <v>Débil</v>
          </cell>
        </row>
        <row r="6">
          <cell r="M6" t="str">
            <v>Rara vezMayor</v>
          </cell>
          <cell r="N6" t="str">
            <v>Alto</v>
          </cell>
          <cell r="U6" t="str">
            <v>ModeradoFuerte</v>
          </cell>
          <cell r="V6" t="str">
            <v>Moderado</v>
          </cell>
        </row>
        <row r="7">
          <cell r="M7" t="str">
            <v>Rara vezCatastrófico</v>
          </cell>
          <cell r="N7" t="str">
            <v>Extremo</v>
          </cell>
          <cell r="U7" t="str">
            <v>ModeradoModerado</v>
          </cell>
          <cell r="V7" t="str">
            <v>Moderado</v>
          </cell>
        </row>
        <row r="8">
          <cell r="K8" t="str">
            <v>Rara Vez</v>
          </cell>
          <cell r="L8">
            <v>1</v>
          </cell>
          <cell r="M8" t="str">
            <v>ImprobableInsignificante</v>
          </cell>
          <cell r="N8" t="str">
            <v>Bajo</v>
          </cell>
          <cell r="U8" t="str">
            <v>ModeradoDébil</v>
          </cell>
          <cell r="V8" t="str">
            <v>Débil</v>
          </cell>
        </row>
        <row r="9">
          <cell r="K9" t="str">
            <v>Improbable</v>
          </cell>
          <cell r="L9">
            <v>2</v>
          </cell>
          <cell r="M9" t="str">
            <v>ImprobableMenor</v>
          </cell>
          <cell r="N9" t="str">
            <v>Bajo</v>
          </cell>
          <cell r="U9" t="str">
            <v>DébilFuerte</v>
          </cell>
          <cell r="V9" t="str">
            <v>Débil</v>
          </cell>
        </row>
        <row r="10">
          <cell r="K10" t="str">
            <v>Posible</v>
          </cell>
          <cell r="L10">
            <v>3</v>
          </cell>
          <cell r="M10" t="str">
            <v>ImprobableModerado</v>
          </cell>
          <cell r="N10" t="str">
            <v>Moderado</v>
          </cell>
          <cell r="U10" t="str">
            <v>DébilModerado</v>
          </cell>
          <cell r="V10" t="str">
            <v>Débil</v>
          </cell>
        </row>
        <row r="11">
          <cell r="K11" t="str">
            <v>Probable</v>
          </cell>
          <cell r="L11">
            <v>4</v>
          </cell>
          <cell r="M11" t="str">
            <v>ImprobableMayor</v>
          </cell>
          <cell r="N11" t="str">
            <v>Alto</v>
          </cell>
          <cell r="U11" t="str">
            <v>DébilDébil</v>
          </cell>
          <cell r="V11" t="str">
            <v>Débil</v>
          </cell>
        </row>
        <row r="12">
          <cell r="K12" t="str">
            <v>Casi seguro</v>
          </cell>
          <cell r="L12">
            <v>5</v>
          </cell>
          <cell r="M12" t="str">
            <v>ImprobableCatastrófico</v>
          </cell>
          <cell r="N12" t="str">
            <v>Extremo</v>
          </cell>
        </row>
        <row r="13">
          <cell r="K13" t="str">
            <v>Insignificante</v>
          </cell>
          <cell r="L13">
            <v>1</v>
          </cell>
          <cell r="M13" t="str">
            <v>PosibleInsignificante</v>
          </cell>
          <cell r="N13" t="str">
            <v>Bajo</v>
          </cell>
        </row>
        <row r="14">
          <cell r="K14" t="str">
            <v>Menor</v>
          </cell>
          <cell r="L14">
            <v>2</v>
          </cell>
          <cell r="M14" t="str">
            <v>PosibleMenor</v>
          </cell>
          <cell r="N14" t="str">
            <v>Moderado</v>
          </cell>
        </row>
        <row r="15">
          <cell r="K15" t="str">
            <v>Moderado</v>
          </cell>
          <cell r="L15">
            <v>3</v>
          </cell>
          <cell r="M15" t="str">
            <v>PosibleModerado</v>
          </cell>
          <cell r="N15" t="str">
            <v>Alto</v>
          </cell>
        </row>
        <row r="16">
          <cell r="K16" t="str">
            <v>Mayor</v>
          </cell>
          <cell r="L16">
            <v>4</v>
          </cell>
          <cell r="M16" t="str">
            <v>PosibleMayor</v>
          </cell>
          <cell r="N16" t="str">
            <v>Extremo</v>
          </cell>
        </row>
        <row r="17">
          <cell r="K17" t="str">
            <v>Catastrófico</v>
          </cell>
          <cell r="L17">
            <v>5</v>
          </cell>
          <cell r="M17" t="str">
            <v>PosibleCatastrófico</v>
          </cell>
          <cell r="N17" t="str">
            <v>Extremo</v>
          </cell>
        </row>
        <row r="18">
          <cell r="M18" t="str">
            <v>ProbableInsignificante</v>
          </cell>
          <cell r="N18" t="str">
            <v>Moderado</v>
          </cell>
        </row>
        <row r="19">
          <cell r="M19" t="str">
            <v>ProbableMenor</v>
          </cell>
          <cell r="N19" t="str">
            <v>Alto</v>
          </cell>
        </row>
        <row r="20">
          <cell r="M20" t="str">
            <v>ProbableModerado</v>
          </cell>
          <cell r="N20" t="str">
            <v>Alto</v>
          </cell>
        </row>
        <row r="21">
          <cell r="M21" t="str">
            <v>ProbableMayor</v>
          </cell>
          <cell r="N21" t="str">
            <v>Extremo</v>
          </cell>
        </row>
        <row r="22">
          <cell r="M22" t="str">
            <v>ProbableCatastrófico</v>
          </cell>
          <cell r="N22" t="str">
            <v>Extremo</v>
          </cell>
        </row>
        <row r="23">
          <cell r="M23" t="str">
            <v>Casi seguroInsignificante</v>
          </cell>
          <cell r="N23" t="str">
            <v>Alto</v>
          </cell>
        </row>
        <row r="24">
          <cell r="M24" t="str">
            <v>Casi seguroMenor</v>
          </cell>
          <cell r="N24" t="str">
            <v>Alto</v>
          </cell>
        </row>
        <row r="25">
          <cell r="M25" t="str">
            <v>Casi seguroModerado</v>
          </cell>
          <cell r="N25" t="str">
            <v>Extremo</v>
          </cell>
        </row>
        <row r="26">
          <cell r="M26" t="str">
            <v>Casi seguroMayor</v>
          </cell>
          <cell r="N26" t="str">
            <v>Extremo</v>
          </cell>
        </row>
        <row r="27">
          <cell r="M27" t="str">
            <v>Casi seguroCatastrófico</v>
          </cell>
          <cell r="N27" t="str">
            <v>Extremo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dos"/>
      <sheetName val="Matriz Riesgos Gestión"/>
      <sheetName val="Matriz Riesgos Corrupción"/>
      <sheetName val="Matriz Riesgos Seg. Información"/>
      <sheetName val="Seguridad Información"/>
      <sheetName val="Probabilidad Seguridad Informac"/>
      <sheetName val="Riesgo Corrupción"/>
      <sheetName val="Corrupción"/>
      <sheetName val="CONTROLES"/>
      <sheetName val="Matriz de calificación"/>
      <sheetName val="Matriz de calificación (2)"/>
    </sheetNames>
    <sheetDataSet>
      <sheetData sheetId="0">
        <row r="3">
          <cell r="B3" t="str">
            <v xml:space="preserve">Gestión del Conocimiento </v>
          </cell>
          <cell r="C3" t="str">
            <v xml:space="preserve">Gestión del Conocimiento </v>
          </cell>
        </row>
        <row r="4">
          <cell r="B4" t="str">
            <v>Gestión de la Información y las comunicaciones</v>
          </cell>
          <cell r="C4" t="str">
            <v>Proveer información oportuna, confiable, veraz y accesible a clientes internos y externos del Ministerio de Justicia y del Derecho.</v>
          </cell>
        </row>
        <row r="5">
          <cell r="B5" t="str">
            <v>Gestión de la Relación con los Grupos de Interés</v>
          </cell>
          <cell r="C5" t="str">
            <v>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v>
          </cell>
        </row>
        <row r="6">
          <cell r="B6" t="str">
            <v>Mejora Integral de la Gestión Institucional</v>
          </cell>
          <cell r="C6" t="str">
            <v xml:space="preserve">Coordinar y administrar la implementación del Sistema Integrado de Gestión del Ministerio de Justicia y de Derecho, con el fin de 
asegurar su mejora contlnua, conveniencia, eficacia y eficiencia conforme con los estándares adoptados. </v>
          </cell>
        </row>
        <row r="7">
          <cell r="B7" t="str">
            <v>Direccionamiento y Planeación Institucional</v>
          </cell>
          <cell r="C7" t="str">
            <v xml:space="preserve">Orientar la gestion de la entidad y del sector para que las acciones se deriven de una planeación eficiente y articulada que optimice 
el uso de los recursos en el logro de los objetivos institucionales. </v>
          </cell>
        </row>
        <row r="8">
          <cell r="B8" t="str">
            <v>Gestión contra la Criminalidad y la Reincidencia</v>
          </cell>
          <cell r="C8" t="str">
            <v>Gestión contra la Criminalidad y la Reincidencia</v>
          </cell>
        </row>
        <row r="9">
          <cell r="B9" t="str">
            <v>Formulación y Seguimiento de las Políticas Públicas</v>
          </cell>
          <cell r="C9" t="str">
            <v>Formularlos criterios,parámetros o lineamientos generales elegidos para abordar las prioridades de la agenda pública en materia de justicia y del derecho y orientar las decisiones respecto a una necesidad o situación de interés público en las materias de competencia del sector de Justicia y del Derecho;hacer seguimiento a las acciones definidas para su implementación o desarrollo y efectuar los ajustes que se requieran.</v>
          </cell>
        </row>
        <row r="10">
          <cell r="B10" t="str">
            <v>Formulación y Seguimiento de Proyectos Normativos</v>
          </cell>
          <cell r="C10" t="str">
            <v>Formular proyectos de actos normativos de acuerdo con las políticas que orientan el sector Justicia y del Derecho,que sirven de herramienta para cumplir con los objetivos del Ministerio en beneficio de la comunidad y partes interesadas de acuerdo con el ordenamiento jurídico vigente.</v>
          </cell>
        </row>
        <row r="11">
          <cell r="B11" t="str">
            <v>Acceso a la Justicia</v>
          </cell>
          <cell r="C11" t="str">
            <v>Acceso a la Justicia</v>
          </cell>
        </row>
        <row r="12">
          <cell r="B12" t="str">
            <v>Fortalecimiento del Principio de Seguridad Jurídica</v>
          </cell>
          <cell r="C12" t="str">
            <v>Fortalecer el Principio Constitucional de Seguridad Jurídica mediante la defensa del Ordenamiento Jurídico, la formulación de lineamientos o metodologías para desarrollar procesos de depuración del Ordenamiento Jurídico y la divulgación normativa a través de la administración funcional del sistema SUIN-JURISCOL.</v>
          </cell>
        </row>
        <row r="13">
          <cell r="B13" t="str">
            <v>Gestión Administrativa</v>
          </cell>
          <cell r="C13" t="str">
            <v>Fijar los lineamientos, parámetros y actividades requeridas para garantizar la gestión de los servicios administrativos, logísticos y la administración de los bienes necesario para la operación del Ministerio de Justicia y del Derecho.</v>
          </cell>
        </row>
        <row r="14">
          <cell r="B14" t="str">
            <v>Gestión Financiera</v>
          </cell>
          <cell r="C14" t="str">
            <v>Establecer los procedimientos, las estancias y responsables para el reconocimiento, registro y revelación de todos los hechos, transacciones y operaciones financieras, sociales, económicas y ambientales en los que tome parte el Ministerio de Justicia y del Derecho, con el fin de brindar información confiable, relevante y comprensible para la toma de decisiones.</v>
          </cell>
        </row>
        <row r="15">
          <cell r="B15" t="str">
            <v>Gestión de las Tecnologías y la Información</v>
          </cell>
          <cell r="C15" t="str">
            <v>Optimizar la operación de los procesos del MJD, mediante la gestión efectiva de los recursos tecnológicos, con el fin de brindar una adecuada disponibilidad de los servicios informáticos que soportan la operación del Ministerio, aplicando las iniciativas estratégicas definidas en las arquitecturas de la organización de TI, información, aplicaciones y tecnológicas. </v>
          </cell>
        </row>
        <row r="16">
          <cell r="B16" t="str">
            <v>Gestión Contractual</v>
          </cell>
          <cell r="C16" t="str">
            <v>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v>
          </cell>
        </row>
        <row r="17">
          <cell r="B17" t="str">
            <v>Gestión Jurídica</v>
          </cell>
          <cell r="C17" t="str">
            <v>Apoyar a las diferentes dependencias de la Entidad y del Sector Justicia en el cumplimiento de su función administrativa, emitir conceptos jurídicos, defender y representar jurídicamente al Ministerio de Justicia y del Derecho</v>
          </cell>
        </row>
        <row r="18">
          <cell r="B18" t="str">
            <v>Gestión Documental</v>
          </cell>
          <cell r="C18" t="str">
            <v>Orientar la realización de las actividades necesarias para garantizar el acceso, la administración y conservación de los documentos producidos y recibidos por la Entidad, en cumplimiento de las disposiciones emanadas por parte del Archivo General de la Nación “Jorge Palacios Preciado”.</v>
          </cell>
        </row>
        <row r="19">
          <cell r="B19" t="str">
            <v>Gestión del Talento Humano</v>
          </cell>
          <cell r="C19" t="str">
            <v>Contar con  personal idoneo y calificado para el ejercicio de las funciones de la entidad, así mismo fortelcer las competencias, habilidades, conocimientos y mejoramiento de la calidad de la vida laboral de los servidores públicos, cumpliendo con todas las disposiciones legales vigentes.</v>
          </cell>
        </row>
        <row r="20">
          <cell r="B20" t="str">
            <v>Seguimiento y Evaluación</v>
          </cell>
          <cell r="C20" t="str">
            <v>Evaluar y/o hacer seguimiento a la planeación, ejecución y control en la gestión de los procesos (SIG), programas, planes y proyectos del Ministerio de Justicia y del Derecho para el mejoramiento continuo de la gestión de la Entidad.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Matriz Riesgos Gestión"/>
      <sheetName val="Matriz Riesgos Corrupción"/>
      <sheetName val="Matriz Riesgos Seg. Información"/>
      <sheetName val="Seguridad Información"/>
      <sheetName val="Probabilidad Seguridad Informac"/>
      <sheetName val="Riesgo Corrupción"/>
      <sheetName val="Corrupción"/>
      <sheetName val="CONTROLES"/>
      <sheetName val="Matriz de calificación"/>
    </sheetNames>
    <sheetDataSet>
      <sheetData sheetId="0">
        <row r="3">
          <cell r="M3" t="str">
            <v>Rara vezInsignificante</v>
          </cell>
          <cell r="N3" t="str">
            <v>Bajo</v>
          </cell>
          <cell r="P3" t="str">
            <v>Bajo</v>
          </cell>
          <cell r="Q3" t="str">
            <v>Asumir el riesgo</v>
          </cell>
          <cell r="U3" t="str">
            <v>FuerteFuerte</v>
          </cell>
          <cell r="V3" t="str">
            <v>Fuerte</v>
          </cell>
        </row>
        <row r="4">
          <cell r="M4" t="str">
            <v>Rara vezMenor</v>
          </cell>
          <cell r="N4" t="str">
            <v>Bajo</v>
          </cell>
          <cell r="P4" t="str">
            <v>Moderado</v>
          </cell>
          <cell r="Q4" t="str">
            <v xml:space="preserve"> Reducir el riesgo</v>
          </cell>
          <cell r="U4" t="str">
            <v>FuerteModerado</v>
          </cell>
          <cell r="V4" t="str">
            <v>Moderado</v>
          </cell>
        </row>
        <row r="5">
          <cell r="M5" t="str">
            <v>Rara vezModerado</v>
          </cell>
          <cell r="N5" t="str">
            <v>Moderado</v>
          </cell>
          <cell r="P5" t="str">
            <v>Alto</v>
          </cell>
          <cell r="Q5" t="str">
            <v>Reducir el riesgo</v>
          </cell>
          <cell r="U5" t="str">
            <v>FuerteDébil</v>
          </cell>
          <cell r="V5" t="str">
            <v>Débil</v>
          </cell>
        </row>
        <row r="6">
          <cell r="M6" t="str">
            <v>Rara vezMayor</v>
          </cell>
          <cell r="N6" t="str">
            <v>Alto</v>
          </cell>
          <cell r="P6" t="str">
            <v>Extremo</v>
          </cell>
          <cell r="Q6" t="str">
            <v>Evitar el riesgo</v>
          </cell>
          <cell r="U6" t="str">
            <v>ModeradoFuerte</v>
          </cell>
          <cell r="V6" t="str">
            <v>Moderado</v>
          </cell>
        </row>
        <row r="7">
          <cell r="M7" t="str">
            <v>Rara vezCatastrófico</v>
          </cell>
          <cell r="N7" t="str">
            <v>Extremo</v>
          </cell>
          <cell r="U7" t="str">
            <v>ModeradoModerado</v>
          </cell>
          <cell r="V7" t="str">
            <v>Moderado</v>
          </cell>
        </row>
        <row r="8">
          <cell r="M8" t="str">
            <v>ImprobableInsignificante</v>
          </cell>
          <cell r="N8" t="str">
            <v>Bajo</v>
          </cell>
          <cell r="U8" t="str">
            <v>ModeradoDébil</v>
          </cell>
          <cell r="V8" t="str">
            <v>Débil</v>
          </cell>
        </row>
        <row r="9">
          <cell r="M9" t="str">
            <v>ImprobableMenor</v>
          </cell>
          <cell r="N9" t="str">
            <v>Bajo</v>
          </cell>
          <cell r="U9" t="str">
            <v>DébilFuerte</v>
          </cell>
          <cell r="V9" t="str">
            <v>Débil</v>
          </cell>
        </row>
        <row r="10">
          <cell r="M10" t="str">
            <v>ImprobableModerado</v>
          </cell>
          <cell r="N10" t="str">
            <v>Moderado</v>
          </cell>
          <cell r="U10" t="str">
            <v>DébilModerado</v>
          </cell>
          <cell r="V10" t="str">
            <v>Débil</v>
          </cell>
        </row>
        <row r="11">
          <cell r="M11" t="str">
            <v>ImprobableMayor</v>
          </cell>
          <cell r="N11" t="str">
            <v>Alto</v>
          </cell>
          <cell r="U11" t="str">
            <v>DébilDébil</v>
          </cell>
          <cell r="V11" t="str">
            <v>Débil</v>
          </cell>
        </row>
        <row r="12">
          <cell r="M12" t="str">
            <v>ImprobableCatastrófico</v>
          </cell>
          <cell r="N12" t="str">
            <v>Extremo</v>
          </cell>
        </row>
        <row r="13">
          <cell r="M13" t="str">
            <v>PosibleInsignificante</v>
          </cell>
          <cell r="N13" t="str">
            <v>Bajo</v>
          </cell>
        </row>
        <row r="14">
          <cell r="M14" t="str">
            <v>PosibleMenor</v>
          </cell>
          <cell r="N14" t="str">
            <v>Moderado</v>
          </cell>
        </row>
        <row r="15">
          <cell r="M15" t="str">
            <v>PosibleModerado</v>
          </cell>
          <cell r="N15" t="str">
            <v>Alto</v>
          </cell>
        </row>
        <row r="16">
          <cell r="M16" t="str">
            <v>PosibleMayor</v>
          </cell>
          <cell r="N16" t="str">
            <v>Extremo</v>
          </cell>
        </row>
        <row r="17">
          <cell r="M17" t="str">
            <v>PosibleCatastrófico</v>
          </cell>
          <cell r="N17" t="str">
            <v>Extremo</v>
          </cell>
        </row>
        <row r="18">
          <cell r="J18">
            <v>-1</v>
          </cell>
          <cell r="K18" t="str">
            <v>Rara Vez</v>
          </cell>
          <cell r="M18" t="str">
            <v>ProbableInsignificante</v>
          </cell>
          <cell r="N18" t="str">
            <v>Moderado</v>
          </cell>
        </row>
        <row r="19">
          <cell r="J19">
            <v>0</v>
          </cell>
          <cell r="K19" t="str">
            <v>Rara Vez</v>
          </cell>
          <cell r="M19" t="str">
            <v>ProbableMenor</v>
          </cell>
          <cell r="N19" t="str">
            <v>Alto</v>
          </cell>
        </row>
        <row r="20">
          <cell r="J20">
            <v>1</v>
          </cell>
          <cell r="K20" t="str">
            <v>Rara Vez</v>
          </cell>
          <cell r="M20" t="str">
            <v>ProbableModerado</v>
          </cell>
          <cell r="N20" t="str">
            <v>Alto</v>
          </cell>
        </row>
        <row r="21">
          <cell r="J21">
            <v>2</v>
          </cell>
          <cell r="K21" t="str">
            <v>Improbable</v>
          </cell>
          <cell r="M21" t="str">
            <v>ProbableMayor</v>
          </cell>
          <cell r="N21" t="str">
            <v>Extremo</v>
          </cell>
        </row>
        <row r="22">
          <cell r="J22">
            <v>3</v>
          </cell>
          <cell r="K22" t="str">
            <v>Posible</v>
          </cell>
          <cell r="M22" t="str">
            <v>ProbableCatastrófico</v>
          </cell>
          <cell r="N22" t="str">
            <v>Extremo</v>
          </cell>
        </row>
        <row r="23">
          <cell r="J23">
            <v>4</v>
          </cell>
          <cell r="K23" t="str">
            <v>Probable</v>
          </cell>
          <cell r="M23" t="str">
            <v>Casi seguroInsignificante</v>
          </cell>
          <cell r="N23" t="str">
            <v>Alto</v>
          </cell>
        </row>
        <row r="24">
          <cell r="J24">
            <v>5</v>
          </cell>
          <cell r="K24" t="str">
            <v>Casi seguro</v>
          </cell>
          <cell r="M24" t="str">
            <v>Casi seguroMenor</v>
          </cell>
          <cell r="N24" t="str">
            <v>Alto</v>
          </cell>
        </row>
        <row r="25">
          <cell r="M25" t="str">
            <v>Casi seguroModerado</v>
          </cell>
          <cell r="N25" t="str">
            <v>Extremo</v>
          </cell>
        </row>
        <row r="26">
          <cell r="M26" t="str">
            <v>Casi seguroMayor</v>
          </cell>
          <cell r="N26" t="str">
            <v>Extremo</v>
          </cell>
        </row>
        <row r="27">
          <cell r="M27" t="str">
            <v>Casi seguroCatastrófico</v>
          </cell>
          <cell r="N27" t="str">
            <v>Extremo</v>
          </cell>
        </row>
      </sheetData>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Matriz Riesgos Gestión"/>
      <sheetName val="Matriz Riesgos Corrupción"/>
      <sheetName val="Matriz Riesgos Seg. Digital"/>
      <sheetName val="Riesgo Corrupción"/>
      <sheetName val="Corrupción"/>
      <sheetName val="CONTROLES"/>
      <sheetName val="Matriz de calificación"/>
    </sheetNames>
    <sheetDataSet>
      <sheetData sheetId="0"/>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Matriz Riesgos Gestión"/>
      <sheetName val="Matriz Riesgos Corrupción"/>
      <sheetName val="Matriz Riesgos Seg. Información"/>
      <sheetName val="Seguridad Información"/>
      <sheetName val="Probabilidad Seguridad Informac"/>
      <sheetName val="Riesgo Corrupción"/>
      <sheetName val="Corrupción"/>
      <sheetName val="CONTROLES"/>
      <sheetName val="Matriz de calificación"/>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Matriz Riesgos Corrupción (2)"/>
      <sheetName val="Riesgo Corrupción"/>
      <sheetName val="Corrupción"/>
      <sheetName val="Matriz Riesgos Corrupción"/>
      <sheetName val="Matriz Riesgos Gestión (2)"/>
      <sheetName val="CONTROLES"/>
      <sheetName val="Matriz Riesgos Gestión"/>
      <sheetName val="Matriz Riesgos Seg. Digital (2)"/>
      <sheetName val="Matriz RiesgosSeguridad Digital"/>
      <sheetName val="Matriz de calificación"/>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Corrupción"/>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Corrupción"/>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Corrupción"/>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Corrupción"/>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Corrupción"/>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Corrupción"/>
    </sheetNames>
    <sheetDataSet>
      <sheetData sheetId="0"/>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Corrupción"/>
    </sheetNames>
    <sheetDataSet>
      <sheetData sheetId="0"/>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Corrupción"/>
    </sheetNames>
    <sheetDataSet>
      <sheetData sheetId="0"/>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Corrupción"/>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Corrupción"/>
    </sheetNames>
    <sheetDataSet>
      <sheetData sheetId="0"/>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Corrupción"/>
    </sheetNames>
    <sheetDataSet>
      <sheetData sheetId="0"/>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DEYANIRA MENDEZ SAAVEDRA" id="{04191340-7ED0-4FAE-9C53-5454D3887796}" userId="S::deyanira.mendez@minjusticia.gov.co::e4372c43-9fc7-4a02-896e-8c798eb0b66e"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 displayName="Tabla2" ref="C7:G11" totalsRowShown="0">
  <autoFilter ref="C7:G11" xr:uid="{00000000-0009-0000-0100-000001000000}"/>
  <tableColumns count="5">
    <tableColumn id="1" xr3:uid="{00000000-0010-0000-0000-000001000000}" name="Descripción" dataDxfId="68"/>
    <tableColumn id="2" xr3:uid="{00000000-0010-0000-0000-000002000000}" name="Acción u omisión"/>
    <tableColumn id="3" xr3:uid="{00000000-0010-0000-0000-000003000000}" name="Uso del poder"/>
    <tableColumn id="4" xr3:uid="{00000000-0010-0000-0000-000004000000}" name="Desviar la gestión de lo público"/>
    <tableColumn id="5" xr3:uid="{00000000-0010-0000-0000-000005000000}" name="Beneficio privado"/>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328" dT="2023-05-17T20:15:36.92" personId="{04191340-7ED0-4FAE-9C53-5454D3887796}" id="{52CC006A-3853-48FA-91A6-43FDD9A1DF14}">
    <text xml:space="preserve"> Incumplimiento de la misionalidad del Ministerio de Justicia y del Derecho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X32"/>
  <sheetViews>
    <sheetView topLeftCell="A6" zoomScaleNormal="100" workbookViewId="0">
      <selection activeCell="C6" sqref="C6"/>
    </sheetView>
  </sheetViews>
  <sheetFormatPr baseColWidth="10" defaultColWidth="11.453125" defaultRowHeight="14.5"/>
  <cols>
    <col min="1" max="1" width="15" bestFit="1" customWidth="1"/>
    <col min="2" max="2" width="48.7265625" bestFit="1" customWidth="1"/>
    <col min="3" max="3" width="48.7265625" customWidth="1"/>
    <col min="4" max="4" width="11.453125" customWidth="1"/>
    <col min="5" max="5" width="13.26953125" customWidth="1"/>
    <col min="6" max="6" width="12.26953125" bestFit="1" customWidth="1"/>
    <col min="7" max="7" width="23.54296875" customWidth="1"/>
    <col min="8" max="8" width="24.81640625" customWidth="1"/>
    <col min="9" max="9" width="17.7265625" customWidth="1"/>
    <col min="11" max="11" width="17.1796875" customWidth="1"/>
    <col min="12" max="12" width="19.54296875" customWidth="1"/>
    <col min="13" max="13" width="37.26953125" customWidth="1"/>
    <col min="14" max="14" width="21.453125" customWidth="1"/>
    <col min="21" max="21" width="19.453125" bestFit="1" customWidth="1"/>
  </cols>
  <sheetData>
    <row r="2" spans="1:24" ht="15" thickBot="1">
      <c r="A2" s="10" t="s">
        <v>0</v>
      </c>
      <c r="B2" s="10" t="s">
        <v>1</v>
      </c>
      <c r="C2" s="10" t="s">
        <v>2</v>
      </c>
      <c r="D2" s="10" t="s">
        <v>3</v>
      </c>
      <c r="E2" s="10" t="s">
        <v>4</v>
      </c>
      <c r="F2" s="10" t="s">
        <v>5</v>
      </c>
      <c r="G2" s="10" t="s">
        <v>6</v>
      </c>
      <c r="H2" s="10" t="s">
        <v>7</v>
      </c>
      <c r="I2" s="10" t="s">
        <v>8</v>
      </c>
      <c r="K2" s="10" t="s">
        <v>5</v>
      </c>
      <c r="L2" s="10" t="s">
        <v>6</v>
      </c>
      <c r="M2" s="10" t="s">
        <v>9</v>
      </c>
      <c r="P2" s="10" t="s">
        <v>10</v>
      </c>
      <c r="S2" s="426" t="s">
        <v>11</v>
      </c>
      <c r="T2" s="426"/>
      <c r="U2" s="426"/>
      <c r="V2" s="426"/>
      <c r="W2" t="s">
        <v>12</v>
      </c>
    </row>
    <row r="3" spans="1:24" ht="126.5" thickBot="1">
      <c r="A3" s="26" t="s">
        <v>13</v>
      </c>
      <c r="B3" s="120" t="s">
        <v>14</v>
      </c>
      <c r="C3" s="120" t="s">
        <v>14</v>
      </c>
      <c r="D3" s="26" t="s">
        <v>15</v>
      </c>
      <c r="E3" s="26" t="s">
        <v>16</v>
      </c>
      <c r="F3" s="11" t="s">
        <v>17</v>
      </c>
      <c r="G3" s="11" t="s">
        <v>18</v>
      </c>
      <c r="H3" t="s">
        <v>19</v>
      </c>
      <c r="I3" t="s">
        <v>20</v>
      </c>
      <c r="K3" s="11" t="s">
        <v>21</v>
      </c>
      <c r="L3" s="11" t="s">
        <v>18</v>
      </c>
      <c r="M3" t="s">
        <v>22</v>
      </c>
      <c r="N3" t="s">
        <v>23</v>
      </c>
      <c r="P3" t="s">
        <v>23</v>
      </c>
      <c r="Q3" t="s">
        <v>24</v>
      </c>
      <c r="S3" t="s">
        <v>25</v>
      </c>
      <c r="T3" t="s">
        <v>25</v>
      </c>
      <c r="U3" t="str">
        <f>+CONCATENATE(S3,T3)</f>
        <v>FuerteFuerte</v>
      </c>
      <c r="V3" t="s">
        <v>25</v>
      </c>
      <c r="W3" s="51" t="s">
        <v>26</v>
      </c>
      <c r="X3" s="50"/>
    </row>
    <row r="4" spans="1:24" ht="154.5" thickBot="1">
      <c r="A4" s="26" t="s">
        <v>13</v>
      </c>
      <c r="B4" s="120" t="s">
        <v>27</v>
      </c>
      <c r="C4" s="121" t="s">
        <v>28</v>
      </c>
      <c r="D4" s="26" t="s">
        <v>29</v>
      </c>
      <c r="E4" s="26" t="s">
        <v>30</v>
      </c>
      <c r="F4" s="11" t="s">
        <v>31</v>
      </c>
      <c r="G4" s="11" t="s">
        <v>32</v>
      </c>
      <c r="H4" s="11" t="s">
        <v>33</v>
      </c>
      <c r="I4" t="s">
        <v>34</v>
      </c>
      <c r="K4" s="11" t="s">
        <v>31</v>
      </c>
      <c r="L4" s="11" t="s">
        <v>32</v>
      </c>
      <c r="M4" t="s">
        <v>35</v>
      </c>
      <c r="N4" t="s">
        <v>23</v>
      </c>
      <c r="P4" t="s">
        <v>36</v>
      </c>
      <c r="Q4" t="s">
        <v>37</v>
      </c>
      <c r="S4" t="s">
        <v>25</v>
      </c>
      <c r="T4" t="s">
        <v>36</v>
      </c>
      <c r="U4" t="str">
        <f t="shared" ref="U4:U11" si="0">+CONCATENATE(S4,T4)</f>
        <v>FuerteModerado</v>
      </c>
      <c r="V4" t="s">
        <v>36</v>
      </c>
      <c r="W4" s="51" t="s">
        <v>38</v>
      </c>
    </row>
    <row r="5" spans="1:24" ht="273.5" thickBot="1">
      <c r="A5" s="26" t="s">
        <v>13</v>
      </c>
      <c r="B5" s="120" t="s">
        <v>39</v>
      </c>
      <c r="C5" s="122" t="s">
        <v>40</v>
      </c>
      <c r="D5" s="26" t="s">
        <v>41</v>
      </c>
      <c r="E5" s="26"/>
      <c r="F5" s="11" t="s">
        <v>42</v>
      </c>
      <c r="G5" s="11" t="s">
        <v>36</v>
      </c>
      <c r="H5" t="s">
        <v>43</v>
      </c>
      <c r="K5" s="11" t="s">
        <v>44</v>
      </c>
      <c r="L5" s="11" t="s">
        <v>36</v>
      </c>
      <c r="M5" t="s">
        <v>45</v>
      </c>
      <c r="N5" t="s">
        <v>36</v>
      </c>
      <c r="P5" t="s">
        <v>46</v>
      </c>
      <c r="Q5" t="s">
        <v>47</v>
      </c>
      <c r="S5" t="s">
        <v>25</v>
      </c>
      <c r="T5" t="s">
        <v>48</v>
      </c>
      <c r="U5" t="str">
        <f t="shared" si="0"/>
        <v>FuerteDébil</v>
      </c>
      <c r="V5" t="s">
        <v>48</v>
      </c>
      <c r="W5" s="51" t="s">
        <v>49</v>
      </c>
    </row>
    <row r="6" spans="1:24" ht="168.5" thickBot="1">
      <c r="A6" s="26" t="s">
        <v>13</v>
      </c>
      <c r="B6" s="120" t="s">
        <v>50</v>
      </c>
      <c r="C6" s="122" t="s">
        <v>51</v>
      </c>
      <c r="D6" s="26" t="s">
        <v>52</v>
      </c>
      <c r="E6" s="26"/>
      <c r="F6" s="11" t="s">
        <v>53</v>
      </c>
      <c r="G6" s="11" t="s">
        <v>54</v>
      </c>
      <c r="H6" t="s">
        <v>55</v>
      </c>
      <c r="K6" s="11" t="s">
        <v>53</v>
      </c>
      <c r="L6" s="11" t="s">
        <v>54</v>
      </c>
      <c r="M6" t="s">
        <v>56</v>
      </c>
      <c r="N6" t="s">
        <v>46</v>
      </c>
      <c r="P6" t="s">
        <v>57</v>
      </c>
      <c r="Q6" t="s">
        <v>58</v>
      </c>
      <c r="S6" t="s">
        <v>36</v>
      </c>
      <c r="T6" t="s">
        <v>25</v>
      </c>
      <c r="U6" t="str">
        <f t="shared" si="0"/>
        <v>ModeradoFuerte</v>
      </c>
      <c r="V6" t="s">
        <v>36</v>
      </c>
      <c r="W6" s="51" t="s">
        <v>59</v>
      </c>
    </row>
    <row r="7" spans="1:24" ht="168">
      <c r="A7" s="26" t="s">
        <v>13</v>
      </c>
      <c r="B7" s="120" t="s">
        <v>60</v>
      </c>
      <c r="C7" s="122" t="s">
        <v>61</v>
      </c>
      <c r="D7" s="26" t="s">
        <v>62</v>
      </c>
      <c r="E7" s="26"/>
      <c r="F7" s="11" t="s">
        <v>63</v>
      </c>
      <c r="G7" s="11" t="s">
        <v>64</v>
      </c>
      <c r="H7" s="11"/>
      <c r="K7" s="11" t="s">
        <v>63</v>
      </c>
      <c r="L7" s="11" t="s">
        <v>64</v>
      </c>
      <c r="M7" t="s">
        <v>65</v>
      </c>
      <c r="N7" t="s">
        <v>57</v>
      </c>
      <c r="S7" t="s">
        <v>36</v>
      </c>
      <c r="T7" t="s">
        <v>36</v>
      </c>
      <c r="U7" t="str">
        <f t="shared" si="0"/>
        <v>ModeradoModerado</v>
      </c>
      <c r="V7" t="s">
        <v>36</v>
      </c>
      <c r="W7" s="51" t="s">
        <v>66</v>
      </c>
    </row>
    <row r="8" spans="1:24" ht="21">
      <c r="A8" s="26" t="s">
        <v>67</v>
      </c>
      <c r="B8" s="120" t="s">
        <v>68</v>
      </c>
      <c r="C8" s="120" t="s">
        <v>68</v>
      </c>
      <c r="D8" s="26" t="s">
        <v>69</v>
      </c>
      <c r="E8" s="26"/>
      <c r="K8" s="11" t="s">
        <v>21</v>
      </c>
      <c r="L8">
        <v>1</v>
      </c>
      <c r="M8" t="s">
        <v>70</v>
      </c>
      <c r="N8" t="s">
        <v>23</v>
      </c>
      <c r="S8" t="s">
        <v>36</v>
      </c>
      <c r="T8" t="s">
        <v>48</v>
      </c>
      <c r="U8" t="str">
        <f t="shared" si="0"/>
        <v>ModeradoDébil</v>
      </c>
      <c r="V8" t="s">
        <v>48</v>
      </c>
    </row>
    <row r="9" spans="1:24" ht="252">
      <c r="A9" s="26" t="s">
        <v>67</v>
      </c>
      <c r="B9" s="120" t="s">
        <v>71</v>
      </c>
      <c r="C9" s="123" t="s">
        <v>72</v>
      </c>
      <c r="D9" s="26"/>
      <c r="E9" s="26"/>
      <c r="K9" s="11" t="s">
        <v>31</v>
      </c>
      <c r="L9">
        <v>2</v>
      </c>
      <c r="M9" t="s">
        <v>73</v>
      </c>
      <c r="N9" t="s">
        <v>23</v>
      </c>
      <c r="S9" t="s">
        <v>48</v>
      </c>
      <c r="T9" t="s">
        <v>25</v>
      </c>
      <c r="U9" t="str">
        <f t="shared" si="0"/>
        <v>DébilFuerte</v>
      </c>
      <c r="V9" t="s">
        <v>48</v>
      </c>
    </row>
    <row r="10" spans="1:24" ht="189">
      <c r="A10" s="26" t="s">
        <v>67</v>
      </c>
      <c r="B10" s="120" t="s">
        <v>74</v>
      </c>
      <c r="C10" s="123" t="s">
        <v>75</v>
      </c>
      <c r="D10" s="26"/>
      <c r="E10" s="26"/>
      <c r="K10" s="11" t="s">
        <v>44</v>
      </c>
      <c r="L10">
        <v>3</v>
      </c>
      <c r="M10" t="s">
        <v>76</v>
      </c>
      <c r="N10" t="s">
        <v>36</v>
      </c>
      <c r="S10" t="s">
        <v>48</v>
      </c>
      <c r="T10" t="s">
        <v>36</v>
      </c>
      <c r="U10" t="str">
        <f t="shared" si="0"/>
        <v>DébilModerado</v>
      </c>
      <c r="V10" t="s">
        <v>48</v>
      </c>
    </row>
    <row r="11" spans="1:24" ht="21">
      <c r="A11" s="26" t="s">
        <v>67</v>
      </c>
      <c r="B11" s="26" t="s">
        <v>77</v>
      </c>
      <c r="C11" s="26" t="s">
        <v>77</v>
      </c>
      <c r="D11" s="26"/>
      <c r="E11" s="26"/>
      <c r="K11" s="11" t="s">
        <v>53</v>
      </c>
      <c r="L11">
        <v>4</v>
      </c>
      <c r="M11" t="s">
        <v>78</v>
      </c>
      <c r="N11" t="s">
        <v>46</v>
      </c>
      <c r="S11" t="s">
        <v>48</v>
      </c>
      <c r="T11" t="s">
        <v>48</v>
      </c>
      <c r="U11" t="str">
        <f t="shared" si="0"/>
        <v>DébilDébil</v>
      </c>
      <c r="V11" t="s">
        <v>48</v>
      </c>
    </row>
    <row r="12" spans="1:24" ht="210">
      <c r="A12" s="26" t="s">
        <v>67</v>
      </c>
      <c r="B12" s="26" t="s">
        <v>79</v>
      </c>
      <c r="C12" s="27" t="s">
        <v>80</v>
      </c>
      <c r="D12" s="26"/>
      <c r="E12" s="26"/>
      <c r="K12" s="11" t="s">
        <v>63</v>
      </c>
      <c r="L12">
        <v>5</v>
      </c>
      <c r="M12" t="s">
        <v>81</v>
      </c>
      <c r="N12" t="s">
        <v>57</v>
      </c>
    </row>
    <row r="13" spans="1:24" ht="147">
      <c r="A13" s="26" t="s">
        <v>82</v>
      </c>
      <c r="B13" s="26" t="s">
        <v>83</v>
      </c>
      <c r="C13" s="110" t="s">
        <v>84</v>
      </c>
      <c r="D13" s="26"/>
      <c r="E13" s="26"/>
      <c r="K13" s="11" t="s">
        <v>18</v>
      </c>
      <c r="L13">
        <v>1</v>
      </c>
      <c r="M13" t="s">
        <v>85</v>
      </c>
      <c r="N13" t="s">
        <v>23</v>
      </c>
    </row>
    <row r="14" spans="1:24" ht="231">
      <c r="A14" s="26" t="s">
        <v>82</v>
      </c>
      <c r="B14" s="26" t="s">
        <v>86</v>
      </c>
      <c r="C14" s="110" t="s">
        <v>87</v>
      </c>
      <c r="D14" s="26"/>
      <c r="E14" s="26"/>
      <c r="K14" s="11" t="s">
        <v>32</v>
      </c>
      <c r="L14">
        <v>2</v>
      </c>
      <c r="M14" t="s">
        <v>88</v>
      </c>
      <c r="N14" t="s">
        <v>36</v>
      </c>
    </row>
    <row r="15" spans="1:24" ht="231">
      <c r="A15" s="26" t="s">
        <v>82</v>
      </c>
      <c r="B15" s="26" t="s">
        <v>89</v>
      </c>
      <c r="C15" s="110" t="s">
        <v>90</v>
      </c>
      <c r="D15" s="26"/>
      <c r="E15" s="26"/>
      <c r="K15" s="11" t="s">
        <v>36</v>
      </c>
      <c r="L15">
        <v>3</v>
      </c>
      <c r="M15" t="s">
        <v>91</v>
      </c>
      <c r="N15" t="s">
        <v>46</v>
      </c>
    </row>
    <row r="16" spans="1:24" ht="210">
      <c r="A16" s="26" t="s">
        <v>82</v>
      </c>
      <c r="B16" s="26" t="s">
        <v>92</v>
      </c>
      <c r="C16" s="110" t="s">
        <v>93</v>
      </c>
      <c r="D16" s="26"/>
      <c r="E16" s="26"/>
      <c r="K16" s="11" t="s">
        <v>54</v>
      </c>
      <c r="L16">
        <v>4</v>
      </c>
      <c r="M16" t="s">
        <v>94</v>
      </c>
      <c r="N16" t="s">
        <v>57</v>
      </c>
    </row>
    <row r="17" spans="1:14" ht="147">
      <c r="A17" s="26" t="s">
        <v>82</v>
      </c>
      <c r="B17" s="26" t="s">
        <v>95</v>
      </c>
      <c r="C17" s="110" t="s">
        <v>96</v>
      </c>
      <c r="D17" s="26"/>
      <c r="E17" s="26"/>
      <c r="K17" s="11" t="s">
        <v>64</v>
      </c>
      <c r="L17">
        <v>5</v>
      </c>
      <c r="M17" t="s">
        <v>97</v>
      </c>
      <c r="N17" t="s">
        <v>57</v>
      </c>
    </row>
    <row r="18" spans="1:14" ht="189">
      <c r="A18" s="26" t="s">
        <v>82</v>
      </c>
      <c r="B18" s="26" t="s">
        <v>98</v>
      </c>
      <c r="C18" s="110" t="s">
        <v>99</v>
      </c>
      <c r="D18" s="26"/>
      <c r="E18" s="26"/>
      <c r="J18">
        <v>-1</v>
      </c>
      <c r="K18" s="11" t="s">
        <v>21</v>
      </c>
      <c r="M18" t="s">
        <v>100</v>
      </c>
      <c r="N18" t="s">
        <v>36</v>
      </c>
    </row>
    <row r="19" spans="1:14" ht="189">
      <c r="A19" s="26" t="s">
        <v>13</v>
      </c>
      <c r="B19" s="26" t="s">
        <v>101</v>
      </c>
      <c r="C19" s="110" t="s">
        <v>102</v>
      </c>
      <c r="D19" s="26"/>
      <c r="E19" s="26"/>
      <c r="J19">
        <v>0</v>
      </c>
      <c r="K19" s="11" t="s">
        <v>21</v>
      </c>
      <c r="M19" t="s">
        <v>103</v>
      </c>
      <c r="N19" t="s">
        <v>46</v>
      </c>
    </row>
    <row r="20" spans="1:14" ht="147">
      <c r="A20" s="26" t="s">
        <v>9</v>
      </c>
      <c r="B20" s="26" t="s">
        <v>104</v>
      </c>
      <c r="C20" s="110" t="s">
        <v>105</v>
      </c>
      <c r="D20" s="26"/>
      <c r="E20" s="26"/>
      <c r="J20">
        <v>1</v>
      </c>
      <c r="K20" s="11" t="s">
        <v>21</v>
      </c>
      <c r="M20" t="s">
        <v>106</v>
      </c>
      <c r="N20" t="s">
        <v>46</v>
      </c>
    </row>
    <row r="21" spans="1:14">
      <c r="J21">
        <v>2</v>
      </c>
      <c r="K21" s="11" t="s">
        <v>31</v>
      </c>
      <c r="M21" t="s">
        <v>107</v>
      </c>
      <c r="N21" t="s">
        <v>57</v>
      </c>
    </row>
    <row r="22" spans="1:14">
      <c r="J22">
        <v>3</v>
      </c>
      <c r="K22" s="11" t="s">
        <v>44</v>
      </c>
      <c r="M22" t="s">
        <v>108</v>
      </c>
      <c r="N22" t="s">
        <v>57</v>
      </c>
    </row>
    <row r="23" spans="1:14">
      <c r="J23">
        <v>4</v>
      </c>
      <c r="K23" s="11" t="s">
        <v>53</v>
      </c>
      <c r="M23" t="s">
        <v>109</v>
      </c>
      <c r="N23" t="s">
        <v>46</v>
      </c>
    </row>
    <row r="24" spans="1:14">
      <c r="J24">
        <v>5</v>
      </c>
      <c r="K24" s="11" t="s">
        <v>63</v>
      </c>
      <c r="M24" t="s">
        <v>110</v>
      </c>
      <c r="N24" t="s">
        <v>46</v>
      </c>
    </row>
    <row r="25" spans="1:14">
      <c r="B25" s="10" t="s">
        <v>111</v>
      </c>
      <c r="C25" s="10" t="s">
        <v>112</v>
      </c>
      <c r="E25" s="10" t="s">
        <v>113</v>
      </c>
      <c r="G25" s="10" t="s">
        <v>114</v>
      </c>
      <c r="M25" t="s">
        <v>115</v>
      </c>
      <c r="N25" t="s">
        <v>57</v>
      </c>
    </row>
    <row r="26" spans="1:14">
      <c r="B26" t="s">
        <v>116</v>
      </c>
      <c r="C26" t="s">
        <v>117</v>
      </c>
      <c r="E26" t="s">
        <v>118</v>
      </c>
      <c r="G26" t="s">
        <v>20</v>
      </c>
      <c r="J26">
        <v>-1</v>
      </c>
      <c r="K26" s="11" t="s">
        <v>18</v>
      </c>
      <c r="M26" t="s">
        <v>119</v>
      </c>
      <c r="N26" t="s">
        <v>57</v>
      </c>
    </row>
    <row r="27" spans="1:14">
      <c r="B27" t="s">
        <v>120</v>
      </c>
      <c r="C27" t="s">
        <v>121</v>
      </c>
      <c r="E27" t="s">
        <v>122</v>
      </c>
      <c r="G27" t="s">
        <v>123</v>
      </c>
      <c r="J27">
        <v>0</v>
      </c>
      <c r="K27" s="11" t="s">
        <v>18</v>
      </c>
      <c r="M27" t="s">
        <v>124</v>
      </c>
      <c r="N27" t="s">
        <v>57</v>
      </c>
    </row>
    <row r="28" spans="1:14">
      <c r="C28" t="s">
        <v>125</v>
      </c>
      <c r="E28" t="s">
        <v>126</v>
      </c>
      <c r="J28">
        <v>1</v>
      </c>
      <c r="K28" s="11" t="s">
        <v>18</v>
      </c>
    </row>
    <row r="29" spans="1:14">
      <c r="G29" t="s">
        <v>20</v>
      </c>
      <c r="J29">
        <v>2</v>
      </c>
      <c r="K29" s="11" t="s">
        <v>32</v>
      </c>
    </row>
    <row r="30" spans="1:14">
      <c r="G30" t="s">
        <v>127</v>
      </c>
      <c r="J30">
        <v>3</v>
      </c>
      <c r="K30" s="11" t="s">
        <v>36</v>
      </c>
    </row>
    <row r="31" spans="1:14">
      <c r="J31">
        <v>4</v>
      </c>
      <c r="K31" s="11" t="s">
        <v>54</v>
      </c>
    </row>
    <row r="32" spans="1:14">
      <c r="J32">
        <v>5</v>
      </c>
      <c r="K32" s="11" t="s">
        <v>64</v>
      </c>
    </row>
  </sheetData>
  <sheetProtection selectLockedCells="1"/>
  <mergeCells count="1">
    <mergeCell ref="S2:V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332"/>
  <sheetViews>
    <sheetView showGridLines="0" tabSelected="1" topLeftCell="G1" zoomScale="70" zoomScaleNormal="70" zoomScaleSheetLayoutView="50" workbookViewId="0">
      <selection activeCell="BF145" sqref="BF145:BF150"/>
    </sheetView>
  </sheetViews>
  <sheetFormatPr baseColWidth="10" defaultColWidth="11.453125" defaultRowHeight="14"/>
  <cols>
    <col min="1" max="1" width="4.81640625" style="232" customWidth="1"/>
    <col min="2" max="2" width="33.54296875" style="233" customWidth="1"/>
    <col min="3" max="3" width="47" style="291" customWidth="1"/>
    <col min="4" max="4" width="44.7265625" style="232" customWidth="1"/>
    <col min="5" max="6" width="28.81640625" style="232" customWidth="1"/>
    <col min="7" max="7" width="26.26953125" style="232" bestFit="1" customWidth="1"/>
    <col min="8" max="8" width="27.26953125" style="232" customWidth="1"/>
    <col min="9" max="9" width="31" style="291" customWidth="1"/>
    <col min="10" max="10" width="14" style="233" customWidth="1"/>
    <col min="11" max="11" width="10.453125" style="233" hidden="1" customWidth="1"/>
    <col min="12" max="12" width="16.7265625" style="233" customWidth="1"/>
    <col min="13" max="13" width="10.453125" style="233" hidden="1" customWidth="1"/>
    <col min="14" max="14" width="11.81640625" style="233" customWidth="1"/>
    <col min="15" max="15" width="91.453125" style="291" customWidth="1"/>
    <col min="16" max="16" width="25.54296875" style="291" customWidth="1"/>
    <col min="17" max="17" width="16.453125" style="291" customWidth="1"/>
    <col min="18" max="19" width="20" style="291" hidden="1" customWidth="1"/>
    <col min="20" max="21" width="22.81640625" style="291" hidden="1" customWidth="1"/>
    <col min="22" max="23" width="28.1796875" style="291" hidden="1" customWidth="1"/>
    <col min="24" max="25" width="34.7265625" style="291" hidden="1" customWidth="1"/>
    <col min="26" max="27" width="24.1796875" style="291" hidden="1" customWidth="1"/>
    <col min="28" max="29" width="27.81640625" style="291" hidden="1" customWidth="1"/>
    <col min="30" max="31" width="23.81640625" style="291" hidden="1" customWidth="1"/>
    <col min="32" max="32" width="15.81640625" style="291" hidden="1" customWidth="1"/>
    <col min="33" max="33" width="18.54296875" style="291" hidden="1" customWidth="1"/>
    <col min="34" max="35" width="20.54296875" style="291" hidden="1" customWidth="1"/>
    <col min="36" max="38" width="15.54296875" style="291" hidden="1" customWidth="1"/>
    <col min="39" max="39" width="18.81640625" style="291" hidden="1" customWidth="1"/>
    <col min="40" max="42" width="15.54296875" style="291" hidden="1" customWidth="1"/>
    <col min="43" max="43" width="17.26953125" style="291" hidden="1" customWidth="1"/>
    <col min="44" max="44" width="20.26953125" style="233" customWidth="1"/>
    <col min="45" max="45" width="15.7265625" style="233" customWidth="1"/>
    <col min="46" max="46" width="19.453125" style="291" customWidth="1"/>
    <col min="47" max="47" width="17.1796875" style="291" customWidth="1"/>
    <col min="48" max="48" width="49.54296875" style="203" customWidth="1"/>
    <col min="49" max="49" width="21.81640625" style="203" customWidth="1"/>
    <col min="50" max="50" width="15" style="203" customWidth="1"/>
    <col min="51" max="51" width="13" style="203" bestFit="1" customWidth="1"/>
    <col min="52" max="52" width="23.1796875" style="203" customWidth="1"/>
    <col min="53" max="53" width="48.1796875" style="203" customWidth="1"/>
    <col min="54" max="54" width="90.26953125" style="203" customWidth="1"/>
    <col min="55" max="55" width="100.1796875" style="203" customWidth="1"/>
    <col min="56" max="56" width="90.26953125" style="203" customWidth="1"/>
    <col min="57" max="57" width="81.54296875" style="203" customWidth="1"/>
    <col min="58" max="58" width="62" style="203" customWidth="1"/>
    <col min="59" max="59" width="23.26953125" style="203" customWidth="1"/>
    <col min="60" max="16384" width="11.453125" style="203"/>
  </cols>
  <sheetData>
    <row r="1" spans="1:59" ht="45.75" customHeight="1">
      <c r="A1" s="533" t="s">
        <v>1196</v>
      </c>
      <c r="B1" s="534"/>
      <c r="C1" s="534"/>
      <c r="D1" s="534"/>
      <c r="E1" s="534"/>
      <c r="F1" s="535"/>
      <c r="G1" s="512" t="s">
        <v>129</v>
      </c>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row>
    <row r="2" spans="1:59" ht="40.5" customHeight="1">
      <c r="A2" s="533"/>
      <c r="B2" s="534"/>
      <c r="C2" s="534"/>
      <c r="D2" s="534"/>
      <c r="E2" s="534"/>
      <c r="F2" s="535"/>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512"/>
      <c r="AN2" s="512"/>
      <c r="AO2" s="512"/>
      <c r="AP2" s="512"/>
      <c r="AQ2" s="512"/>
      <c r="AR2" s="512"/>
      <c r="AS2" s="512"/>
      <c r="AT2" s="512"/>
      <c r="AU2" s="512"/>
    </row>
    <row r="3" spans="1:59" ht="13.5" customHeight="1">
      <c r="A3" s="533"/>
      <c r="B3" s="534"/>
      <c r="C3" s="534"/>
      <c r="D3" s="534"/>
      <c r="E3" s="534"/>
      <c r="F3" s="535"/>
      <c r="G3" s="528" t="s">
        <v>130</v>
      </c>
      <c r="H3" s="528"/>
      <c r="I3" s="275">
        <v>2023</v>
      </c>
      <c r="J3" s="529"/>
      <c r="K3" s="530"/>
      <c r="L3" s="529"/>
      <c r="M3" s="530"/>
      <c r="N3" s="529"/>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530"/>
      <c r="AQ3" s="530"/>
      <c r="AR3" s="530"/>
      <c r="AS3" s="530"/>
      <c r="AT3" s="530"/>
      <c r="AU3" s="530"/>
    </row>
    <row r="4" spans="1:59" ht="29.25" customHeight="1">
      <c r="A4" s="531" t="s">
        <v>131</v>
      </c>
      <c r="B4" s="531"/>
      <c r="C4" s="531"/>
      <c r="D4" s="531"/>
      <c r="E4" s="531"/>
      <c r="F4" s="531"/>
      <c r="G4" s="531"/>
      <c r="H4" s="531"/>
      <c r="I4" s="531"/>
      <c r="J4" s="531" t="s">
        <v>132</v>
      </c>
      <c r="K4" s="532"/>
      <c r="L4" s="531"/>
      <c r="M4" s="532"/>
      <c r="N4" s="531"/>
      <c r="O4" s="531" t="s">
        <v>133</v>
      </c>
      <c r="P4" s="531"/>
      <c r="Q4" s="531"/>
      <c r="R4" s="531"/>
      <c r="S4" s="531"/>
      <c r="T4" s="531"/>
      <c r="U4" s="531"/>
      <c r="V4" s="531"/>
      <c r="W4" s="531"/>
      <c r="X4" s="531"/>
      <c r="Y4" s="531"/>
      <c r="Z4" s="531"/>
      <c r="AA4" s="531"/>
      <c r="AB4" s="531"/>
      <c r="AC4" s="531"/>
      <c r="AD4" s="531"/>
      <c r="AE4" s="531"/>
      <c r="AF4" s="531"/>
      <c r="AG4" s="531"/>
      <c r="AH4" s="531"/>
      <c r="AI4" s="531"/>
      <c r="AJ4" s="531"/>
      <c r="AK4" s="531"/>
      <c r="AL4" s="531"/>
      <c r="AM4" s="531"/>
      <c r="AN4" s="531"/>
      <c r="AO4" s="531"/>
      <c r="AP4" s="531"/>
      <c r="AQ4" s="531"/>
      <c r="AR4" s="531"/>
      <c r="AS4" s="531"/>
      <c r="AT4" s="531"/>
      <c r="AU4" s="520" t="s">
        <v>134</v>
      </c>
      <c r="AV4" s="531" t="s">
        <v>586</v>
      </c>
      <c r="AW4" s="531"/>
      <c r="AX4" s="531"/>
      <c r="AY4" s="531"/>
      <c r="AZ4" s="531"/>
      <c r="BA4" s="531"/>
      <c r="BB4" s="520" t="s">
        <v>1028</v>
      </c>
      <c r="BC4" s="531"/>
      <c r="BD4" s="531"/>
      <c r="BE4" s="520" t="s">
        <v>1029</v>
      </c>
      <c r="BF4" s="531"/>
      <c r="BG4" s="531"/>
    </row>
    <row r="5" spans="1:59" ht="14.25" customHeight="1">
      <c r="A5" s="531"/>
      <c r="B5" s="531"/>
      <c r="C5" s="531"/>
      <c r="D5" s="531"/>
      <c r="E5" s="531"/>
      <c r="F5" s="531"/>
      <c r="G5" s="531"/>
      <c r="H5" s="531"/>
      <c r="I5" s="531"/>
      <c r="J5" s="520" t="s">
        <v>135</v>
      </c>
      <c r="K5" s="521"/>
      <c r="L5" s="520"/>
      <c r="M5" s="521"/>
      <c r="N5" s="520"/>
      <c r="O5" s="522" t="s">
        <v>136</v>
      </c>
      <c r="P5" s="523"/>
      <c r="Q5" s="524"/>
      <c r="R5" s="522" t="s">
        <v>137</v>
      </c>
      <c r="S5" s="523"/>
      <c r="T5" s="523"/>
      <c r="U5" s="523"/>
      <c r="V5" s="523"/>
      <c r="W5" s="523"/>
      <c r="X5" s="523"/>
      <c r="Y5" s="523"/>
      <c r="Z5" s="523"/>
      <c r="AA5" s="523"/>
      <c r="AB5" s="523"/>
      <c r="AC5" s="523"/>
      <c r="AD5" s="523"/>
      <c r="AE5" s="523"/>
      <c r="AF5" s="523"/>
      <c r="AG5" s="524"/>
      <c r="AH5" s="525" t="s">
        <v>113</v>
      </c>
      <c r="AI5" s="526"/>
      <c r="AJ5" s="525" t="s">
        <v>138</v>
      </c>
      <c r="AK5" s="527"/>
      <c r="AL5" s="525" t="s">
        <v>139</v>
      </c>
      <c r="AM5" s="527"/>
      <c r="AN5" s="273"/>
      <c r="AO5" s="273"/>
      <c r="AP5" s="273"/>
      <c r="AQ5" s="273"/>
      <c r="AR5" s="520" t="s">
        <v>140</v>
      </c>
      <c r="AS5" s="520"/>
      <c r="AT5" s="520"/>
      <c r="AU5" s="520"/>
      <c r="AV5" s="531"/>
      <c r="AW5" s="531"/>
      <c r="AX5" s="531"/>
      <c r="AY5" s="531"/>
      <c r="AZ5" s="531"/>
      <c r="BA5" s="531"/>
      <c r="BB5" s="531"/>
      <c r="BC5" s="531"/>
      <c r="BD5" s="531"/>
      <c r="BE5" s="531"/>
      <c r="BF5" s="531"/>
      <c r="BG5" s="531"/>
    </row>
    <row r="6" spans="1:59" ht="111.75" customHeight="1">
      <c r="A6" s="206" t="s">
        <v>144</v>
      </c>
      <c r="B6" s="206" t="s">
        <v>145</v>
      </c>
      <c r="C6" s="206" t="s">
        <v>146</v>
      </c>
      <c r="D6" s="206" t="s">
        <v>147</v>
      </c>
      <c r="E6" s="206" t="s">
        <v>148</v>
      </c>
      <c r="F6" s="206" t="s">
        <v>149</v>
      </c>
      <c r="G6" s="206" t="s">
        <v>150</v>
      </c>
      <c r="H6" s="206" t="s">
        <v>151</v>
      </c>
      <c r="I6" s="206" t="s">
        <v>152</v>
      </c>
      <c r="J6" s="281" t="s">
        <v>153</v>
      </c>
      <c r="K6" s="274"/>
      <c r="L6" s="281" t="s">
        <v>154</v>
      </c>
      <c r="M6" s="274"/>
      <c r="N6" s="281" t="s">
        <v>155</v>
      </c>
      <c r="O6" s="204" t="s">
        <v>156</v>
      </c>
      <c r="P6" s="205" t="s">
        <v>157</v>
      </c>
      <c r="Q6" s="204" t="s">
        <v>158</v>
      </c>
      <c r="R6" s="204" t="s">
        <v>159</v>
      </c>
      <c r="S6" s="204"/>
      <c r="T6" s="204" t="s">
        <v>160</v>
      </c>
      <c r="U6" s="204"/>
      <c r="V6" s="204" t="s">
        <v>161</v>
      </c>
      <c r="W6" s="204"/>
      <c r="X6" s="204" t="s">
        <v>162</v>
      </c>
      <c r="Y6" s="204"/>
      <c r="Z6" s="204" t="s">
        <v>163</v>
      </c>
      <c r="AA6" s="204"/>
      <c r="AB6" s="204" t="s">
        <v>164</v>
      </c>
      <c r="AC6" s="204"/>
      <c r="AD6" s="204" t="s">
        <v>165</v>
      </c>
      <c r="AE6" s="204"/>
      <c r="AF6" s="204" t="s">
        <v>166</v>
      </c>
      <c r="AG6" s="204" t="s">
        <v>167</v>
      </c>
      <c r="AH6" s="204" t="s">
        <v>168</v>
      </c>
      <c r="AI6" s="204" t="s">
        <v>169</v>
      </c>
      <c r="AJ6" s="204" t="s">
        <v>170</v>
      </c>
      <c r="AK6" s="204" t="s">
        <v>171</v>
      </c>
      <c r="AL6" s="204" t="s">
        <v>172</v>
      </c>
      <c r="AM6" s="204" t="s">
        <v>173</v>
      </c>
      <c r="AN6" s="204" t="s">
        <v>174</v>
      </c>
      <c r="AO6" s="204" t="s">
        <v>175</v>
      </c>
      <c r="AP6" s="204"/>
      <c r="AQ6" s="204"/>
      <c r="AR6" s="204" t="s">
        <v>153</v>
      </c>
      <c r="AS6" s="204" t="s">
        <v>154</v>
      </c>
      <c r="AT6" s="204" t="s">
        <v>155</v>
      </c>
      <c r="AU6" s="204" t="s">
        <v>176</v>
      </c>
      <c r="AV6" s="206" t="s">
        <v>1030</v>
      </c>
      <c r="AW6" s="206" t="s">
        <v>1031</v>
      </c>
      <c r="AX6" s="206" t="s">
        <v>1032</v>
      </c>
      <c r="AY6" s="206" t="s">
        <v>1033</v>
      </c>
      <c r="AZ6" s="206" t="s">
        <v>1034</v>
      </c>
      <c r="BA6" s="206" t="s">
        <v>1035</v>
      </c>
      <c r="BB6" s="206" t="s">
        <v>1036</v>
      </c>
      <c r="BC6" s="206" t="s">
        <v>1037</v>
      </c>
      <c r="BD6" s="206" t="s">
        <v>1038</v>
      </c>
      <c r="BE6" s="206" t="s">
        <v>1039</v>
      </c>
      <c r="BF6" s="206" t="s">
        <v>1040</v>
      </c>
      <c r="BG6" s="206" t="s">
        <v>1041</v>
      </c>
    </row>
    <row r="7" spans="1:59" ht="293.14999999999998" customHeight="1">
      <c r="A7" s="437">
        <v>1</v>
      </c>
      <c r="B7" s="506" t="s">
        <v>68</v>
      </c>
      <c r="C7" s="429" t="s">
        <v>1624</v>
      </c>
      <c r="D7" s="508" t="s">
        <v>1625</v>
      </c>
      <c r="E7" s="267" t="s">
        <v>15</v>
      </c>
      <c r="F7" s="267" t="s">
        <v>177</v>
      </c>
      <c r="G7" s="265" t="s">
        <v>1626</v>
      </c>
      <c r="H7" s="265" t="s">
        <v>16</v>
      </c>
      <c r="I7" s="265" t="s">
        <v>179</v>
      </c>
      <c r="J7" s="476" t="s">
        <v>21</v>
      </c>
      <c r="K7" s="466">
        <f>+VLOOKUP(J7,Listados!$K$8:$L$12,2,0)</f>
        <v>1</v>
      </c>
      <c r="L7" s="477" t="s">
        <v>64</v>
      </c>
      <c r="M7" s="466">
        <f>+VLOOKUP(L7,Listados!$K$13:$L$17,2,0)</f>
        <v>5</v>
      </c>
      <c r="N7" s="434" t="str">
        <f>IF(AND(J7&lt;&gt;"",L7&lt;&gt;""),VLOOKUP(J7&amp;L7,Listados!$M$3:$N$27,2,FALSE),"")</f>
        <v>Extremo</v>
      </c>
      <c r="O7" s="229" t="s">
        <v>1628</v>
      </c>
      <c r="P7" s="138" t="s">
        <v>178</v>
      </c>
      <c r="Q7" s="139" t="s">
        <v>123</v>
      </c>
      <c r="R7" s="207" t="s">
        <v>116</v>
      </c>
      <c r="S7" s="208">
        <f>+IF(R7="si",15,"")</f>
        <v>15</v>
      </c>
      <c r="T7" s="207" t="s">
        <v>257</v>
      </c>
      <c r="U7" s="208">
        <f>+IF(T7="si",15,"")</f>
        <v>15</v>
      </c>
      <c r="V7" s="207" t="s">
        <v>257</v>
      </c>
      <c r="W7" s="208">
        <f>+IF(V7="si",15,"")</f>
        <v>15</v>
      </c>
      <c r="X7" s="207" t="s">
        <v>123</v>
      </c>
      <c r="Y7" s="208">
        <f>+IF(X7="Preventivo",15,IF(X7="Detectivo",10,""))</f>
        <v>10</v>
      </c>
      <c r="Z7" s="207" t="s">
        <v>257</v>
      </c>
      <c r="AA7" s="208">
        <f>+IF(Z7="si",15,"")</f>
        <v>15</v>
      </c>
      <c r="AB7" s="207" t="s">
        <v>257</v>
      </c>
      <c r="AC7" s="208">
        <f>+IF(AB7="si",15,"")</f>
        <v>15</v>
      </c>
      <c r="AD7" s="207" t="s">
        <v>117</v>
      </c>
      <c r="AE7" s="208">
        <f>+IF(AD7="Completa",10,IF(AD7="Incompleta",5,""))</f>
        <v>10</v>
      </c>
      <c r="AF7" s="270">
        <f>IF((SUM(S7,U7,W7,Y7,AA7,AC7,AE7)=0),"",(SUM(S7,U7,W7,Y7,AA7,AC7,AE7)))</f>
        <v>95</v>
      </c>
      <c r="AG7" s="270" t="str">
        <f>IF(AF7&lt;=85,"Débil",IF(AF7&lt;=95,"Moderado",IF(AF7=100,"Fuerte","")))</f>
        <v>Moderado</v>
      </c>
      <c r="AH7" s="209" t="s">
        <v>118</v>
      </c>
      <c r="AI7" s="210" t="str">
        <f>+IF(AH7="siempre","Fuerte",IF(AH7="Algunas veces","Moderado","Débil"))</f>
        <v>Fuerte</v>
      </c>
      <c r="AJ7" s="211" t="str">
        <f>IFERROR(VLOOKUP((CONCATENATE(AG7,AI7)),Listados!$U$3:$V$11,2,FALSE),"")</f>
        <v>Moderado</v>
      </c>
      <c r="AK7" s="270">
        <f>IF(ISBLANK(AJ7),"",IF(AJ7="Débil", 0, IF(AJ7="Moderado",50,100)))</f>
        <v>50</v>
      </c>
      <c r="AL7" s="446">
        <f>AVERAGE(AK7:AK12)</f>
        <v>50</v>
      </c>
      <c r="AM7" s="448" t="str">
        <f>IF(AL7&lt;=50, "Débil", IF(AL7&lt;=99,"Moderado","Fuerte"))</f>
        <v>Débil</v>
      </c>
      <c r="AN7" s="269">
        <f>+IF(AND(Q7="Preventivo",AM7="Fuerte"),2,IF(AND(Q7="Preventivo",AM7="Moderado"),1,0))</f>
        <v>0</v>
      </c>
      <c r="AO7" s="269">
        <f>+IF(AND(Q7="Detectivo",$AM7="Fuerte"),2,IF(AND(Q7="Detectivo",$AM7="Moderado"),1,IF(AND(Q7="Preventivo",$AM7="Fuerte"),1,0)))</f>
        <v>0</v>
      </c>
      <c r="AP7" s="212">
        <f>+K7-AN7</f>
        <v>1</v>
      </c>
      <c r="AQ7" s="212">
        <f>+M7-AO7</f>
        <v>5</v>
      </c>
      <c r="AR7" s="435" t="str">
        <f>+VLOOKUP(MIN(AP7,AP8,AP9,AP10,AP11,AP12),Listados!$J$18:$K$24,2,TRUE)</f>
        <v>Rara Vez</v>
      </c>
      <c r="AS7" s="435" t="s">
        <v>1630</v>
      </c>
      <c r="AT7" s="435" t="str">
        <f>IF(AND(AR7&lt;&gt;"",AS7&lt;&gt;""),VLOOKUP(AR7&amp;AS7,Listados!$M$3:$N$27,2,FALSE),"")</f>
        <v>Moderado</v>
      </c>
      <c r="AU7" s="435" t="str">
        <f>+VLOOKUP(AT7,Listados!$P$3:$Q$6,2,FALSE)</f>
        <v xml:space="preserve"> Reducir el riesgo</v>
      </c>
      <c r="AV7" s="199" t="s">
        <v>1631</v>
      </c>
      <c r="AW7" s="199" t="s">
        <v>1632</v>
      </c>
      <c r="AX7" s="256">
        <v>44927</v>
      </c>
      <c r="AY7" s="256">
        <v>45291</v>
      </c>
      <c r="AZ7" s="564" t="s">
        <v>1120</v>
      </c>
      <c r="BA7" s="565" t="s">
        <v>1232</v>
      </c>
      <c r="BB7" s="566" t="s">
        <v>1374</v>
      </c>
      <c r="BC7" s="560" t="s">
        <v>1635</v>
      </c>
      <c r="BD7" s="560"/>
      <c r="BE7" s="542" t="s">
        <v>1543</v>
      </c>
      <c r="BF7" s="560" t="s">
        <v>1777</v>
      </c>
      <c r="BG7" s="561"/>
    </row>
    <row r="8" spans="1:59" ht="70">
      <c r="A8" s="437"/>
      <c r="B8" s="439"/>
      <c r="C8" s="500"/>
      <c r="D8" s="502"/>
      <c r="E8" s="149"/>
      <c r="F8" s="149"/>
      <c r="G8" s="229" t="s">
        <v>1627</v>
      </c>
      <c r="H8" s="229" t="s">
        <v>16</v>
      </c>
      <c r="I8" s="229" t="s">
        <v>181</v>
      </c>
      <c r="J8" s="495"/>
      <c r="K8" s="467"/>
      <c r="L8" s="478"/>
      <c r="M8" s="467"/>
      <c r="N8" s="470"/>
      <c r="O8" s="229" t="s">
        <v>1629</v>
      </c>
      <c r="P8" s="138" t="s">
        <v>180</v>
      </c>
      <c r="Q8" s="139" t="s">
        <v>123</v>
      </c>
      <c r="R8" s="207" t="s">
        <v>116</v>
      </c>
      <c r="S8" s="208">
        <f t="shared" ref="S8:S65" si="0">+IF(R8="si",15,"")</f>
        <v>15</v>
      </c>
      <c r="T8" s="207" t="s">
        <v>257</v>
      </c>
      <c r="U8" s="208">
        <f t="shared" ref="U8:U65" si="1">+IF(T8="si",15,"")</f>
        <v>15</v>
      </c>
      <c r="V8" s="207" t="s">
        <v>257</v>
      </c>
      <c r="W8" s="208">
        <f t="shared" ref="W8:W65" si="2">+IF(V8="si",15,"")</f>
        <v>15</v>
      </c>
      <c r="X8" s="207" t="s">
        <v>123</v>
      </c>
      <c r="Y8" s="208">
        <f t="shared" ref="Y8:Y65" si="3">+IF(X8="Preventivo",15,IF(X8="Detectivo",10,""))</f>
        <v>10</v>
      </c>
      <c r="Z8" s="207" t="s">
        <v>257</v>
      </c>
      <c r="AA8" s="208">
        <f t="shared" ref="AA8:AA65" si="4">+IF(Z8="si",15,"")</f>
        <v>15</v>
      </c>
      <c r="AB8" s="207" t="s">
        <v>257</v>
      </c>
      <c r="AC8" s="208">
        <f t="shared" ref="AC8:AC65" si="5">+IF(AB8="si",15,"")</f>
        <v>15</v>
      </c>
      <c r="AD8" s="207" t="s">
        <v>117</v>
      </c>
      <c r="AE8" s="208">
        <f t="shared" ref="AE8:AE65" si="6">+IF(AD8="Completa",10,IF(AD8="Incompleta",5,""))</f>
        <v>10</v>
      </c>
      <c r="AF8" s="270">
        <f t="shared" ref="AF8:AF65" si="7">IF((SUM(S8,U8,W8,Y8,AA8,AC8,AE8)=0),"",(SUM(S8,U8,W8,Y8,AA8,AC8,AE8)))</f>
        <v>95</v>
      </c>
      <c r="AG8" s="270" t="str">
        <f t="shared" ref="AG8:AG65" si="8">IF(AF8&lt;=85,"Débil",IF(AF8&lt;=95,"Moderado",IF(AF8=100,"Fuerte","")))</f>
        <v>Moderado</v>
      </c>
      <c r="AH8" s="209" t="s">
        <v>118</v>
      </c>
      <c r="AI8" s="210" t="str">
        <f>+IF(AH8="siempre","Fuerte",IF(AH8="Algunas veces","Moderado","Débil"))</f>
        <v>Fuerte</v>
      </c>
      <c r="AJ8" s="211" t="str">
        <f>IFERROR(VLOOKUP((CONCATENATE(AG8,AI8)),Listados!$U$3:$V$11,2,FALSE),"")</f>
        <v>Moderado</v>
      </c>
      <c r="AK8" s="270">
        <f>IF(ISBLANK(AJ8),"",IF(AJ8="Débil", 0, IF(AJ8="Moderado",50,100)))</f>
        <v>50</v>
      </c>
      <c r="AL8" s="447"/>
      <c r="AM8" s="449"/>
      <c r="AN8" s="269">
        <f>+IF(AND(Q8="Preventivo",AM7="Fuerte"),2,IF(AND(Q8="Preventivo",AM7="Moderado"),1,0))</f>
        <v>0</v>
      </c>
      <c r="AO8" s="269">
        <f>+IF(AND(Q8="Detectivo",$AM7="Fuerte"),2,IF(AND(Q8="Detectivo",$AM7="Moderado"),1,IF(AND(Q8="Preventivo",$AM7="Fuerte"),1,0)))</f>
        <v>0</v>
      </c>
      <c r="AP8" s="212">
        <f>+K7-AN8</f>
        <v>1</v>
      </c>
      <c r="AQ8" s="212">
        <f>+M7-AO8</f>
        <v>5</v>
      </c>
      <c r="AR8" s="433"/>
      <c r="AS8" s="433"/>
      <c r="AT8" s="433"/>
      <c r="AU8" s="433"/>
      <c r="AV8" s="199" t="s">
        <v>1633</v>
      </c>
      <c r="AW8" s="199" t="s">
        <v>1634</v>
      </c>
      <c r="AX8" s="256">
        <v>44927</v>
      </c>
      <c r="AY8" s="256">
        <v>45291</v>
      </c>
      <c r="AZ8" s="564"/>
      <c r="BA8" s="546"/>
      <c r="BB8" s="567"/>
      <c r="BC8" s="540"/>
      <c r="BD8" s="540"/>
      <c r="BE8" s="543"/>
      <c r="BF8" s="540"/>
      <c r="BG8" s="562"/>
    </row>
    <row r="9" spans="1:59" ht="28" customHeight="1">
      <c r="A9" s="437"/>
      <c r="B9" s="439"/>
      <c r="C9" s="500"/>
      <c r="D9" s="502"/>
      <c r="E9" s="149"/>
      <c r="F9" s="149"/>
      <c r="G9" s="229" t="s">
        <v>916</v>
      </c>
      <c r="H9" s="229"/>
      <c r="I9" s="229" t="s">
        <v>182</v>
      </c>
      <c r="J9" s="495"/>
      <c r="K9" s="467"/>
      <c r="L9" s="478"/>
      <c r="M9" s="467"/>
      <c r="N9" s="470"/>
      <c r="O9" s="213"/>
      <c r="P9" s="138"/>
      <c r="Q9" s="139"/>
      <c r="R9" s="207"/>
      <c r="S9" s="208" t="str">
        <f t="shared" si="0"/>
        <v/>
      </c>
      <c r="T9" s="207"/>
      <c r="U9" s="208" t="str">
        <f t="shared" si="1"/>
        <v/>
      </c>
      <c r="V9" s="207"/>
      <c r="W9" s="208" t="str">
        <f t="shared" si="2"/>
        <v/>
      </c>
      <c r="X9" s="207"/>
      <c r="Y9" s="208" t="str">
        <f t="shared" si="3"/>
        <v/>
      </c>
      <c r="Z9" s="207"/>
      <c r="AA9" s="208" t="str">
        <f t="shared" si="4"/>
        <v/>
      </c>
      <c r="AB9" s="207"/>
      <c r="AC9" s="208" t="str">
        <f t="shared" si="5"/>
        <v/>
      </c>
      <c r="AD9" s="207"/>
      <c r="AE9" s="208" t="str">
        <f t="shared" si="6"/>
        <v/>
      </c>
      <c r="AF9" s="270" t="str">
        <f>IF((SUM(S9,U9,W9,Y9,AA9,AC9,AE9)=0),"",(SUM(S9,U9,W9,Y9,AA9,AC9,AE9)))</f>
        <v/>
      </c>
      <c r="AG9" s="270" t="str">
        <f t="shared" si="8"/>
        <v/>
      </c>
      <c r="AH9" s="209"/>
      <c r="AI9" s="210"/>
      <c r="AJ9" s="211"/>
      <c r="AK9" s="270"/>
      <c r="AL9" s="447"/>
      <c r="AM9" s="449"/>
      <c r="AN9" s="269"/>
      <c r="AO9" s="269"/>
      <c r="AP9" s="212">
        <f>+K7-AN9</f>
        <v>1</v>
      </c>
      <c r="AQ9" s="212">
        <f>+M7-AO9</f>
        <v>5</v>
      </c>
      <c r="AR9" s="433"/>
      <c r="AS9" s="433"/>
      <c r="AT9" s="433"/>
      <c r="AU9" s="433"/>
      <c r="AV9" s="199"/>
      <c r="AW9" s="199"/>
      <c r="AX9" s="256"/>
      <c r="AY9" s="256"/>
      <c r="AZ9" s="564"/>
      <c r="BA9" s="546"/>
      <c r="BB9" s="567"/>
      <c r="BC9" s="540"/>
      <c r="BD9" s="540"/>
      <c r="BE9" s="543"/>
      <c r="BF9" s="540"/>
      <c r="BG9" s="562"/>
    </row>
    <row r="10" spans="1:59" ht="14.15" customHeight="1">
      <c r="A10" s="437"/>
      <c r="B10" s="439"/>
      <c r="C10" s="500"/>
      <c r="D10" s="502"/>
      <c r="E10" s="149"/>
      <c r="F10" s="149"/>
      <c r="G10" s="137"/>
      <c r="H10" s="137"/>
      <c r="I10" s="137"/>
      <c r="J10" s="495"/>
      <c r="K10" s="467"/>
      <c r="L10" s="478"/>
      <c r="M10" s="467"/>
      <c r="N10" s="470"/>
      <c r="O10" s="213"/>
      <c r="P10" s="138"/>
      <c r="Q10" s="139"/>
      <c r="R10" s="207"/>
      <c r="S10" s="208" t="str">
        <f t="shared" si="0"/>
        <v/>
      </c>
      <c r="T10" s="207"/>
      <c r="U10" s="208" t="str">
        <f t="shared" si="1"/>
        <v/>
      </c>
      <c r="V10" s="207"/>
      <c r="W10" s="208" t="str">
        <f t="shared" si="2"/>
        <v/>
      </c>
      <c r="X10" s="207"/>
      <c r="Y10" s="208" t="str">
        <f t="shared" si="3"/>
        <v/>
      </c>
      <c r="Z10" s="207"/>
      <c r="AA10" s="208" t="str">
        <f t="shared" si="4"/>
        <v/>
      </c>
      <c r="AB10" s="207"/>
      <c r="AC10" s="208" t="str">
        <f t="shared" si="5"/>
        <v/>
      </c>
      <c r="AD10" s="207"/>
      <c r="AE10" s="208" t="str">
        <f t="shared" si="6"/>
        <v/>
      </c>
      <c r="AF10" s="270" t="str">
        <f t="shared" si="7"/>
        <v/>
      </c>
      <c r="AG10" s="270" t="str">
        <f t="shared" si="8"/>
        <v/>
      </c>
      <c r="AH10" s="209"/>
      <c r="AI10" s="210"/>
      <c r="AJ10" s="211"/>
      <c r="AK10" s="270"/>
      <c r="AL10" s="447"/>
      <c r="AM10" s="449"/>
      <c r="AN10" s="269"/>
      <c r="AO10" s="269"/>
      <c r="AP10" s="212">
        <f>+K7-AN10</f>
        <v>1</v>
      </c>
      <c r="AQ10" s="212">
        <f>+M7-AO10</f>
        <v>5</v>
      </c>
      <c r="AR10" s="433"/>
      <c r="AS10" s="433"/>
      <c r="AT10" s="433"/>
      <c r="AU10" s="433"/>
      <c r="AV10" s="199"/>
      <c r="AW10" s="199"/>
      <c r="AX10" s="256"/>
      <c r="AY10" s="256"/>
      <c r="AZ10" s="564"/>
      <c r="BA10" s="546"/>
      <c r="BB10" s="567"/>
      <c r="BC10" s="540"/>
      <c r="BD10" s="540"/>
      <c r="BE10" s="543"/>
      <c r="BF10" s="540"/>
      <c r="BG10" s="562"/>
    </row>
    <row r="11" spans="1:59" ht="14.15" customHeight="1">
      <c r="A11" s="437"/>
      <c r="B11" s="439"/>
      <c r="C11" s="500"/>
      <c r="D11" s="502"/>
      <c r="E11" s="149"/>
      <c r="F11" s="149"/>
      <c r="G11" s="137"/>
      <c r="H11" s="137"/>
      <c r="I11" s="137"/>
      <c r="J11" s="495"/>
      <c r="K11" s="467"/>
      <c r="L11" s="478"/>
      <c r="M11" s="467"/>
      <c r="N11" s="470"/>
      <c r="O11" s="213"/>
      <c r="P11" s="138"/>
      <c r="Q11" s="139"/>
      <c r="R11" s="207"/>
      <c r="S11" s="208" t="str">
        <f t="shared" si="0"/>
        <v/>
      </c>
      <c r="T11" s="207"/>
      <c r="U11" s="208" t="str">
        <f t="shared" si="1"/>
        <v/>
      </c>
      <c r="V11" s="207"/>
      <c r="W11" s="208" t="str">
        <f t="shared" si="2"/>
        <v/>
      </c>
      <c r="X11" s="207"/>
      <c r="Y11" s="208" t="str">
        <f t="shared" si="3"/>
        <v/>
      </c>
      <c r="Z11" s="207"/>
      <c r="AA11" s="208" t="str">
        <f t="shared" si="4"/>
        <v/>
      </c>
      <c r="AB11" s="207"/>
      <c r="AC11" s="208" t="str">
        <f t="shared" si="5"/>
        <v/>
      </c>
      <c r="AD11" s="207"/>
      <c r="AE11" s="208" t="str">
        <f t="shared" si="6"/>
        <v/>
      </c>
      <c r="AF11" s="270" t="str">
        <f t="shared" si="7"/>
        <v/>
      </c>
      <c r="AG11" s="270" t="str">
        <f t="shared" si="8"/>
        <v/>
      </c>
      <c r="AH11" s="209"/>
      <c r="AI11" s="210"/>
      <c r="AJ11" s="211"/>
      <c r="AK11" s="270"/>
      <c r="AL11" s="447"/>
      <c r="AM11" s="449"/>
      <c r="AN11" s="269"/>
      <c r="AO11" s="269"/>
      <c r="AP11" s="212">
        <f>+K7-AN11</f>
        <v>1</v>
      </c>
      <c r="AQ11" s="212">
        <f>+M7-AO11</f>
        <v>5</v>
      </c>
      <c r="AR11" s="433"/>
      <c r="AS11" s="433"/>
      <c r="AT11" s="433"/>
      <c r="AU11" s="433"/>
      <c r="AV11" s="199"/>
      <c r="AW11" s="199"/>
      <c r="AX11" s="256"/>
      <c r="AY11" s="256"/>
      <c r="AZ11" s="564"/>
      <c r="BA11" s="546"/>
      <c r="BB11" s="567"/>
      <c r="BC11" s="540"/>
      <c r="BD11" s="540"/>
      <c r="BE11" s="543"/>
      <c r="BF11" s="540"/>
      <c r="BG11" s="562"/>
    </row>
    <row r="12" spans="1:59" ht="14.5" customHeight="1" thickBot="1">
      <c r="A12" s="438"/>
      <c r="B12" s="439"/>
      <c r="C12" s="500"/>
      <c r="D12" s="502"/>
      <c r="E12" s="149"/>
      <c r="F12" s="149"/>
      <c r="G12" s="137"/>
      <c r="H12" s="137"/>
      <c r="I12" s="137"/>
      <c r="J12" s="495"/>
      <c r="K12" s="468"/>
      <c r="L12" s="478"/>
      <c r="M12" s="468"/>
      <c r="N12" s="470"/>
      <c r="O12" s="213"/>
      <c r="P12" s="138"/>
      <c r="Q12" s="139"/>
      <c r="R12" s="207"/>
      <c r="S12" s="208" t="str">
        <f t="shared" si="0"/>
        <v/>
      </c>
      <c r="T12" s="207"/>
      <c r="U12" s="208" t="str">
        <f t="shared" si="1"/>
        <v/>
      </c>
      <c r="V12" s="207"/>
      <c r="W12" s="208" t="str">
        <f t="shared" si="2"/>
        <v/>
      </c>
      <c r="X12" s="207"/>
      <c r="Y12" s="208" t="str">
        <f t="shared" si="3"/>
        <v/>
      </c>
      <c r="Z12" s="207"/>
      <c r="AA12" s="208" t="str">
        <f t="shared" si="4"/>
        <v/>
      </c>
      <c r="AB12" s="207"/>
      <c r="AC12" s="208" t="str">
        <f t="shared" si="5"/>
        <v/>
      </c>
      <c r="AD12" s="207"/>
      <c r="AE12" s="208" t="str">
        <f t="shared" si="6"/>
        <v/>
      </c>
      <c r="AF12" s="270" t="str">
        <f t="shared" si="7"/>
        <v/>
      </c>
      <c r="AG12" s="270" t="str">
        <f t="shared" si="8"/>
        <v/>
      </c>
      <c r="AH12" s="209"/>
      <c r="AI12" s="210"/>
      <c r="AJ12" s="211"/>
      <c r="AK12" s="270"/>
      <c r="AL12" s="448"/>
      <c r="AM12" s="449"/>
      <c r="AN12" s="269"/>
      <c r="AO12" s="269"/>
      <c r="AP12" s="212">
        <f>+K7-AN12</f>
        <v>1</v>
      </c>
      <c r="AQ12" s="212">
        <f>+M7-AO12</f>
        <v>5</v>
      </c>
      <c r="AR12" s="434"/>
      <c r="AS12" s="434"/>
      <c r="AT12" s="434"/>
      <c r="AU12" s="434"/>
      <c r="AV12" s="199"/>
      <c r="AW12" s="199"/>
      <c r="AX12" s="256"/>
      <c r="AY12" s="256"/>
      <c r="AZ12" s="564"/>
      <c r="BA12" s="547"/>
      <c r="BB12" s="568"/>
      <c r="BC12" s="541"/>
      <c r="BD12" s="541"/>
      <c r="BE12" s="544"/>
      <c r="BF12" s="541"/>
      <c r="BG12" s="563"/>
    </row>
    <row r="13" spans="1:59" ht="196">
      <c r="A13" s="436">
        <v>2</v>
      </c>
      <c r="B13" s="439" t="s">
        <v>86</v>
      </c>
      <c r="C13" s="500" t="str">
        <f>IFERROR(VLOOKUP(B13,Listados!B$3:C$20,2,FALSE),"")</f>
        <v>Establecer los procedimientos, las estancias y responsables para el reconocimiento, registro y revelación de todos los hechos, transacciones y operaciones financieras, sociales, económicas y ambientales en los que tome parte el Ministerio de Justicia y del Derecho, con el fin de brindar información confiable, relevante y comprensible para la toma de decisiones.</v>
      </c>
      <c r="D13" s="502" t="s">
        <v>1796</v>
      </c>
      <c r="E13" s="474" t="s">
        <v>41</v>
      </c>
      <c r="F13" s="474" t="s">
        <v>189</v>
      </c>
      <c r="G13" s="294" t="s">
        <v>1312</v>
      </c>
      <c r="H13" s="259" t="s">
        <v>16</v>
      </c>
      <c r="I13" s="259" t="s">
        <v>1313</v>
      </c>
      <c r="J13" s="504" t="s">
        <v>21</v>
      </c>
      <c r="K13" s="466">
        <f>+VLOOKUP(J13,[3]Listados!$K$8:$L$12,2,0)</f>
        <v>1</v>
      </c>
      <c r="L13" s="481" t="s">
        <v>36</v>
      </c>
      <c r="M13" s="466">
        <f>+VLOOKUP(L13,Listados!$K$13:$L$17,2,0)</f>
        <v>3</v>
      </c>
      <c r="N13" s="469" t="str">
        <f>IF(AND(J13&lt;&gt;"",L13&lt;&gt;""),VLOOKUP(J13&amp;L13,Listados!$M$3:$N$27,2,FALSE),"")</f>
        <v>Moderado</v>
      </c>
      <c r="O13" s="251" t="s">
        <v>1375</v>
      </c>
      <c r="P13" s="255" t="s">
        <v>183</v>
      </c>
      <c r="Q13" s="251" t="s">
        <v>123</v>
      </c>
      <c r="R13" s="329" t="s">
        <v>116</v>
      </c>
      <c r="S13" s="28">
        <f t="shared" si="0"/>
        <v>15</v>
      </c>
      <c r="T13" s="329" t="s">
        <v>257</v>
      </c>
      <c r="U13" s="28">
        <f t="shared" si="1"/>
        <v>15</v>
      </c>
      <c r="V13" s="329" t="s">
        <v>257</v>
      </c>
      <c r="W13" s="28">
        <f t="shared" si="2"/>
        <v>15</v>
      </c>
      <c r="X13" s="329" t="s">
        <v>123</v>
      </c>
      <c r="Y13" s="28">
        <f t="shared" si="3"/>
        <v>10</v>
      </c>
      <c r="Z13" s="329" t="s">
        <v>257</v>
      </c>
      <c r="AA13" s="28">
        <f t="shared" si="4"/>
        <v>15</v>
      </c>
      <c r="AB13" s="329" t="s">
        <v>257</v>
      </c>
      <c r="AC13" s="28">
        <f t="shared" si="5"/>
        <v>15</v>
      </c>
      <c r="AD13" s="329" t="s">
        <v>117</v>
      </c>
      <c r="AE13" s="208">
        <f t="shared" si="6"/>
        <v>10</v>
      </c>
      <c r="AF13" s="270">
        <f t="shared" si="7"/>
        <v>95</v>
      </c>
      <c r="AG13" s="270" t="str">
        <f t="shared" si="8"/>
        <v>Moderado</v>
      </c>
      <c r="AH13" s="209" t="s">
        <v>118</v>
      </c>
      <c r="AI13" s="210" t="str">
        <f t="shared" ref="AI13:AI66" si="9">+IF(AH13="siempre","Fuerte",IF(AH13="Algunas veces","Moderado","Débil"))</f>
        <v>Fuerte</v>
      </c>
      <c r="AJ13" s="211" t="str">
        <f>IFERROR(VLOOKUP((CONCATENATE(AG13,AI13)),Listados!$U$3:$V$11,2,FALSE),"")</f>
        <v>Moderado</v>
      </c>
      <c r="AK13" s="270">
        <f t="shared" ref="AK13:AK66" si="10">IF(ISBLANK(AJ13),"",IF(AJ13="Débil", 0, IF(AJ13="Moderado",50,100)))</f>
        <v>50</v>
      </c>
      <c r="AL13" s="446">
        <f>AVERAGE(AK13:AK18)</f>
        <v>75</v>
      </c>
      <c r="AM13" s="448" t="str">
        <f>IF(AL13&lt;=50, "Débil", IF(AL13&lt;=99,"Moderado","Fuerte"))</f>
        <v>Moderado</v>
      </c>
      <c r="AN13" s="269">
        <f>+IF(AND(Q13="Preventivo",AM13="Fuerte"),2,IF(AND(Q13="Preventivo",AM13="Moderado"),1,0))</f>
        <v>0</v>
      </c>
      <c r="AO13" s="269">
        <f>+IF(AND(Q13="Detectivo",$AM13="Fuerte"),2,IF(AND(Q13="Detectivo",$AM13="Moderado"),1,IF(AND(Q13="Preventivo",$AM13="Fuerte"),1,0)))</f>
        <v>1</v>
      </c>
      <c r="AP13" s="212">
        <f>+K13-AN13</f>
        <v>1</v>
      </c>
      <c r="AQ13" s="212">
        <f>+M13-AO13</f>
        <v>2</v>
      </c>
      <c r="AR13" s="435" t="str">
        <f>+VLOOKUP(MIN(AP13,AP14,AP15,AP16,AP17,AP18),Listados!$J$18:$K$24,2,TRUE)</f>
        <v>Rara Vez</v>
      </c>
      <c r="AS13" s="435" t="str">
        <f>+VLOOKUP(MIN(AQ13,AQ14,AQ15,AQ16,AQ17,AQ18),Listados!$J$26:$K$32,2,TRUE)</f>
        <v>Menor</v>
      </c>
      <c r="AT13" s="435" t="str">
        <f>IF(AND(AR13&lt;&gt;"",AS13&lt;&gt;""),VLOOKUP(AR13&amp;AS13,Listados!$M$3:$N$27,2,FALSE),"")</f>
        <v>Bajo</v>
      </c>
      <c r="AU13" s="435" t="str">
        <f>+VLOOKUP(AT13,Listados!$P$3:$Q$6,2,FALSE)</f>
        <v>Asumir el riesgo</v>
      </c>
      <c r="AV13" s="342" t="s">
        <v>1314</v>
      </c>
      <c r="AW13" s="342" t="s">
        <v>1080</v>
      </c>
      <c r="AX13" s="343">
        <v>44927</v>
      </c>
      <c r="AY13" s="343">
        <v>45291</v>
      </c>
      <c r="AZ13" s="342" t="s">
        <v>1315</v>
      </c>
      <c r="BA13" s="318" t="s">
        <v>1317</v>
      </c>
      <c r="BB13" s="536" t="s">
        <v>1376</v>
      </c>
      <c r="BC13" s="539" t="s">
        <v>1640</v>
      </c>
      <c r="BD13" s="569"/>
      <c r="BE13" s="542" t="s">
        <v>1549</v>
      </c>
      <c r="BF13" s="539" t="s">
        <v>1797</v>
      </c>
      <c r="BG13" s="545"/>
    </row>
    <row r="14" spans="1:59" ht="84" customHeight="1">
      <c r="A14" s="437"/>
      <c r="B14" s="439"/>
      <c r="C14" s="500"/>
      <c r="D14" s="502"/>
      <c r="E14" s="475"/>
      <c r="F14" s="475"/>
      <c r="G14" s="268" t="s">
        <v>184</v>
      </c>
      <c r="H14" s="265" t="s">
        <v>16</v>
      </c>
      <c r="I14" s="265"/>
      <c r="J14" s="476"/>
      <c r="K14" s="467"/>
      <c r="L14" s="477"/>
      <c r="M14" s="467"/>
      <c r="N14" s="433"/>
      <c r="O14" s="341"/>
      <c r="P14" s="255"/>
      <c r="Q14" s="251"/>
      <c r="R14" s="328"/>
      <c r="S14" s="208" t="str">
        <f t="shared" si="0"/>
        <v/>
      </c>
      <c r="T14" s="328"/>
      <c r="U14" s="208" t="str">
        <f t="shared" si="1"/>
        <v/>
      </c>
      <c r="V14" s="328"/>
      <c r="W14" s="208" t="str">
        <f t="shared" si="2"/>
        <v/>
      </c>
      <c r="X14" s="328"/>
      <c r="Y14" s="208" t="str">
        <f t="shared" si="3"/>
        <v/>
      </c>
      <c r="Z14" s="328"/>
      <c r="AA14" s="208" t="str">
        <f t="shared" si="4"/>
        <v/>
      </c>
      <c r="AB14" s="328"/>
      <c r="AC14" s="208" t="str">
        <f t="shared" si="5"/>
        <v/>
      </c>
      <c r="AD14" s="328"/>
      <c r="AE14" s="208" t="str">
        <f t="shared" si="6"/>
        <v/>
      </c>
      <c r="AF14" s="270" t="str">
        <f t="shared" si="7"/>
        <v/>
      </c>
      <c r="AG14" s="270" t="str">
        <f t="shared" si="8"/>
        <v/>
      </c>
      <c r="AH14" s="209" t="s">
        <v>118</v>
      </c>
      <c r="AI14" s="210" t="str">
        <f t="shared" si="9"/>
        <v>Fuerte</v>
      </c>
      <c r="AJ14" s="211" t="str">
        <f>IFERROR(VLOOKUP((CONCATENATE(AG14,AI14)),Listados!$U$3:$V$11,2,FALSE),"")</f>
        <v/>
      </c>
      <c r="AK14" s="270">
        <f t="shared" si="10"/>
        <v>100</v>
      </c>
      <c r="AL14" s="447"/>
      <c r="AM14" s="449"/>
      <c r="AN14" s="269">
        <f>+IF(AND(Q14="Preventivo",AM13="Fuerte"),2,IF(AND(Q14="Preventivo",AM13="Moderado"),1,0))</f>
        <v>0</v>
      </c>
      <c r="AO14" s="269">
        <f>+IF(AND(Q14="Detectivo",$AM13="Fuerte"),2,IF(AND(Q14="Detectivo",$AM13="Moderado"),1,IF(AND(Q14="Preventivo",$AM13="Fuerte"),1,0)))</f>
        <v>0</v>
      </c>
      <c r="AP14" s="212">
        <f>+K13-AN14</f>
        <v>1</v>
      </c>
      <c r="AQ14" s="212">
        <f>+M13-AO14</f>
        <v>3</v>
      </c>
      <c r="AR14" s="433"/>
      <c r="AS14" s="433"/>
      <c r="AT14" s="433"/>
      <c r="AU14" s="433"/>
      <c r="AV14" s="450" t="s">
        <v>1316</v>
      </c>
      <c r="AW14" s="450" t="s">
        <v>1080</v>
      </c>
      <c r="AX14" s="453">
        <v>44774</v>
      </c>
      <c r="AY14" s="453">
        <v>45107</v>
      </c>
      <c r="AZ14" s="450" t="s">
        <v>1244</v>
      </c>
      <c r="BA14" s="450" t="s">
        <v>1377</v>
      </c>
      <c r="BB14" s="537"/>
      <c r="BC14" s="540"/>
      <c r="BD14" s="570"/>
      <c r="BE14" s="543"/>
      <c r="BF14" s="540"/>
      <c r="BG14" s="546"/>
    </row>
    <row r="15" spans="1:59" ht="14.15" customHeight="1">
      <c r="A15" s="437"/>
      <c r="B15" s="439"/>
      <c r="C15" s="500"/>
      <c r="D15" s="502"/>
      <c r="E15" s="475"/>
      <c r="F15" s="475"/>
      <c r="G15" s="144"/>
      <c r="H15" s="137"/>
      <c r="I15" s="137"/>
      <c r="J15" s="495"/>
      <c r="K15" s="467"/>
      <c r="L15" s="478"/>
      <c r="M15" s="467"/>
      <c r="N15" s="433"/>
      <c r="O15" s="251"/>
      <c r="P15" s="138"/>
      <c r="Q15" s="139"/>
      <c r="R15" s="207"/>
      <c r="S15" s="208"/>
      <c r="T15" s="207"/>
      <c r="U15" s="208"/>
      <c r="V15" s="207"/>
      <c r="W15" s="208"/>
      <c r="X15" s="207"/>
      <c r="Y15" s="208"/>
      <c r="Z15" s="207"/>
      <c r="AA15" s="208"/>
      <c r="AB15" s="207"/>
      <c r="AC15" s="208"/>
      <c r="AD15" s="207"/>
      <c r="AE15" s="208" t="str">
        <f t="shared" si="6"/>
        <v/>
      </c>
      <c r="AF15" s="270" t="str">
        <f t="shared" si="7"/>
        <v/>
      </c>
      <c r="AG15" s="270" t="str">
        <f t="shared" si="8"/>
        <v/>
      </c>
      <c r="AH15" s="209"/>
      <c r="AI15" s="210"/>
      <c r="AJ15" s="211"/>
      <c r="AK15" s="270"/>
      <c r="AL15" s="447"/>
      <c r="AM15" s="449"/>
      <c r="AN15" s="269"/>
      <c r="AO15" s="269"/>
      <c r="AP15" s="212">
        <f>+K13-AN15</f>
        <v>1</v>
      </c>
      <c r="AQ15" s="212">
        <f>+M13-AO15</f>
        <v>3</v>
      </c>
      <c r="AR15" s="433"/>
      <c r="AS15" s="433"/>
      <c r="AT15" s="433"/>
      <c r="AU15" s="433"/>
      <c r="AV15" s="451"/>
      <c r="AW15" s="451"/>
      <c r="AX15" s="454"/>
      <c r="AY15" s="454"/>
      <c r="AZ15" s="451"/>
      <c r="BA15" s="451"/>
      <c r="BB15" s="537"/>
      <c r="BC15" s="540"/>
      <c r="BD15" s="570"/>
      <c r="BE15" s="543"/>
      <c r="BF15" s="540"/>
      <c r="BG15" s="546"/>
    </row>
    <row r="16" spans="1:59" ht="14.15" customHeight="1">
      <c r="A16" s="437"/>
      <c r="B16" s="439"/>
      <c r="C16" s="500"/>
      <c r="D16" s="502"/>
      <c r="E16" s="475"/>
      <c r="F16" s="475"/>
      <c r="G16" s="144"/>
      <c r="H16" s="137"/>
      <c r="I16" s="137"/>
      <c r="J16" s="495"/>
      <c r="K16" s="467"/>
      <c r="L16" s="478"/>
      <c r="M16" s="467"/>
      <c r="N16" s="433"/>
      <c r="O16" s="259"/>
      <c r="P16" s="138"/>
      <c r="Q16" s="139"/>
      <c r="R16" s="207"/>
      <c r="S16" s="208"/>
      <c r="T16" s="207"/>
      <c r="U16" s="208"/>
      <c r="V16" s="207"/>
      <c r="W16" s="208"/>
      <c r="X16" s="207"/>
      <c r="Y16" s="208"/>
      <c r="Z16" s="207"/>
      <c r="AA16" s="208"/>
      <c r="AB16" s="207"/>
      <c r="AC16" s="208"/>
      <c r="AD16" s="207"/>
      <c r="AE16" s="208" t="str">
        <f t="shared" si="6"/>
        <v/>
      </c>
      <c r="AF16" s="270" t="str">
        <f t="shared" si="7"/>
        <v/>
      </c>
      <c r="AG16" s="270" t="str">
        <f t="shared" si="8"/>
        <v/>
      </c>
      <c r="AH16" s="209"/>
      <c r="AI16" s="210"/>
      <c r="AJ16" s="211"/>
      <c r="AK16" s="270"/>
      <c r="AL16" s="447"/>
      <c r="AM16" s="449"/>
      <c r="AN16" s="269"/>
      <c r="AO16" s="269"/>
      <c r="AP16" s="212">
        <f>+K13-AN16</f>
        <v>1</v>
      </c>
      <c r="AQ16" s="212">
        <f>+M13-AO16</f>
        <v>3</v>
      </c>
      <c r="AR16" s="433"/>
      <c r="AS16" s="433"/>
      <c r="AT16" s="433"/>
      <c r="AU16" s="433"/>
      <c r="AV16" s="451"/>
      <c r="AW16" s="451"/>
      <c r="AX16" s="454"/>
      <c r="AY16" s="454"/>
      <c r="AZ16" s="451"/>
      <c r="BA16" s="451"/>
      <c r="BB16" s="537"/>
      <c r="BC16" s="540"/>
      <c r="BD16" s="570"/>
      <c r="BE16" s="543"/>
      <c r="BF16" s="540"/>
      <c r="BG16" s="546"/>
    </row>
    <row r="17" spans="1:59" ht="14.15" customHeight="1">
      <c r="A17" s="437"/>
      <c r="B17" s="439"/>
      <c r="C17" s="500"/>
      <c r="D17" s="502"/>
      <c r="E17" s="475"/>
      <c r="F17" s="475"/>
      <c r="G17" s="137"/>
      <c r="H17" s="137"/>
      <c r="I17" s="137"/>
      <c r="J17" s="495"/>
      <c r="K17" s="467"/>
      <c r="L17" s="478"/>
      <c r="M17" s="467"/>
      <c r="N17" s="433"/>
      <c r="O17" s="251"/>
      <c r="P17" s="231"/>
      <c r="Q17" s="231"/>
      <c r="R17" s="231"/>
      <c r="S17" s="208" t="str">
        <f t="shared" si="0"/>
        <v/>
      </c>
      <c r="T17" s="231"/>
      <c r="U17" s="208" t="str">
        <f t="shared" si="1"/>
        <v/>
      </c>
      <c r="V17" s="207"/>
      <c r="W17" s="208" t="str">
        <f t="shared" si="2"/>
        <v/>
      </c>
      <c r="X17" s="207"/>
      <c r="Y17" s="208" t="str">
        <f t="shared" si="3"/>
        <v/>
      </c>
      <c r="Z17" s="207"/>
      <c r="AA17" s="208" t="str">
        <f t="shared" si="4"/>
        <v/>
      </c>
      <c r="AB17" s="207"/>
      <c r="AC17" s="208" t="str">
        <f t="shared" si="5"/>
        <v/>
      </c>
      <c r="AD17" s="207"/>
      <c r="AE17" s="208" t="str">
        <f t="shared" si="6"/>
        <v/>
      </c>
      <c r="AF17" s="270" t="str">
        <f t="shared" si="7"/>
        <v/>
      </c>
      <c r="AG17" s="270" t="str">
        <f t="shared" si="8"/>
        <v/>
      </c>
      <c r="AH17" s="209"/>
      <c r="AI17" s="210"/>
      <c r="AJ17" s="211"/>
      <c r="AK17" s="270"/>
      <c r="AL17" s="447"/>
      <c r="AM17" s="449"/>
      <c r="AN17" s="269"/>
      <c r="AO17" s="269"/>
      <c r="AP17" s="212">
        <f>+K13-AN17</f>
        <v>1</v>
      </c>
      <c r="AQ17" s="212">
        <f>+M13-AO17</f>
        <v>3</v>
      </c>
      <c r="AR17" s="433"/>
      <c r="AS17" s="433"/>
      <c r="AT17" s="433"/>
      <c r="AU17" s="433"/>
      <c r="AV17" s="451"/>
      <c r="AW17" s="451"/>
      <c r="AX17" s="454"/>
      <c r="AY17" s="454"/>
      <c r="AZ17" s="451"/>
      <c r="BA17" s="451"/>
      <c r="BB17" s="537"/>
      <c r="BC17" s="540"/>
      <c r="BD17" s="570"/>
      <c r="BE17" s="543"/>
      <c r="BF17" s="540"/>
      <c r="BG17" s="546"/>
    </row>
    <row r="18" spans="1:59" ht="14.5" customHeight="1" thickBot="1">
      <c r="A18" s="438"/>
      <c r="B18" s="439"/>
      <c r="C18" s="500"/>
      <c r="D18" s="502"/>
      <c r="E18" s="476"/>
      <c r="F18" s="476"/>
      <c r="G18" s="137"/>
      <c r="H18" s="137"/>
      <c r="I18" s="137"/>
      <c r="J18" s="495"/>
      <c r="K18" s="468"/>
      <c r="L18" s="478"/>
      <c r="M18" s="468"/>
      <c r="N18" s="434"/>
      <c r="O18" s="259"/>
      <c r="P18" s="231"/>
      <c r="Q18" s="231"/>
      <c r="R18" s="231"/>
      <c r="S18" s="208" t="str">
        <f t="shared" si="0"/>
        <v/>
      </c>
      <c r="T18" s="231"/>
      <c r="U18" s="208" t="str">
        <f t="shared" si="1"/>
        <v/>
      </c>
      <c r="V18" s="207"/>
      <c r="W18" s="208" t="str">
        <f t="shared" si="2"/>
        <v/>
      </c>
      <c r="X18" s="207"/>
      <c r="Y18" s="208" t="str">
        <f t="shared" si="3"/>
        <v/>
      </c>
      <c r="Z18" s="207"/>
      <c r="AA18" s="208" t="str">
        <f t="shared" si="4"/>
        <v/>
      </c>
      <c r="AB18" s="207"/>
      <c r="AC18" s="208" t="str">
        <f t="shared" si="5"/>
        <v/>
      </c>
      <c r="AD18" s="207"/>
      <c r="AE18" s="208" t="str">
        <f t="shared" si="6"/>
        <v/>
      </c>
      <c r="AF18" s="270" t="str">
        <f t="shared" si="7"/>
        <v/>
      </c>
      <c r="AG18" s="270" t="str">
        <f t="shared" si="8"/>
        <v/>
      </c>
      <c r="AH18" s="209"/>
      <c r="AI18" s="210"/>
      <c r="AJ18" s="211"/>
      <c r="AK18" s="270"/>
      <c r="AL18" s="448"/>
      <c r="AM18" s="449"/>
      <c r="AN18" s="269"/>
      <c r="AO18" s="269"/>
      <c r="AP18" s="212">
        <f>+K13-AN18</f>
        <v>1</v>
      </c>
      <c r="AQ18" s="212">
        <f>+M13-AO18</f>
        <v>3</v>
      </c>
      <c r="AR18" s="434"/>
      <c r="AS18" s="434"/>
      <c r="AT18" s="434"/>
      <c r="AU18" s="434"/>
      <c r="AV18" s="452"/>
      <c r="AW18" s="452"/>
      <c r="AX18" s="455"/>
      <c r="AY18" s="455"/>
      <c r="AZ18" s="452"/>
      <c r="BA18" s="452"/>
      <c r="BB18" s="538"/>
      <c r="BC18" s="541"/>
      <c r="BD18" s="571"/>
      <c r="BE18" s="544"/>
      <c r="BF18" s="541"/>
      <c r="BG18" s="547"/>
    </row>
    <row r="19" spans="1:59" ht="135" customHeight="1">
      <c r="A19" s="436">
        <v>3</v>
      </c>
      <c r="B19" s="439" t="s">
        <v>86</v>
      </c>
      <c r="C19" s="500" t="str">
        <f>IFERROR(VLOOKUP(B19,Listados!B$3:C$20,2,FALSE),"")</f>
        <v>Establecer los procedimientos, las estancias y responsables para el reconocimiento, registro y revelación de todos los hechos, transacciones y operaciones financieras, sociales, económicas y ambientales en los que tome parte el Ministerio de Justicia y del Derecho, con el fin de brindar información confiable, relevante y comprensible para la toma de decisiones.</v>
      </c>
      <c r="D19" s="502" t="s">
        <v>1318</v>
      </c>
      <c r="E19" s="245" t="s">
        <v>52</v>
      </c>
      <c r="F19" s="245" t="s">
        <v>189</v>
      </c>
      <c r="G19" s="294" t="s">
        <v>1319</v>
      </c>
      <c r="H19" s="259" t="s">
        <v>16</v>
      </c>
      <c r="I19" s="259" t="s">
        <v>1320</v>
      </c>
      <c r="J19" s="504" t="s">
        <v>53</v>
      </c>
      <c r="K19" s="466">
        <f>+VLOOKUP(J19,[3]Listados!$K$8:$L$12,2,0)</f>
        <v>4</v>
      </c>
      <c r="L19" s="481" t="s">
        <v>36</v>
      </c>
      <c r="M19" s="466">
        <f>+VLOOKUP(L19,Listados!$K$13:$L$17,2,0)</f>
        <v>3</v>
      </c>
      <c r="N19" s="469" t="str">
        <f>IF(AND(J19&lt;&gt;"",L19&lt;&gt;""),VLOOKUP(J19&amp;L19,Listados!$M$3:$N$27,2,FALSE),"")</f>
        <v>Alto</v>
      </c>
      <c r="O19" s="229" t="s">
        <v>1321</v>
      </c>
      <c r="P19" s="137" t="s">
        <v>185</v>
      </c>
      <c r="Q19" s="137" t="s">
        <v>20</v>
      </c>
      <c r="R19" s="207" t="s">
        <v>116</v>
      </c>
      <c r="S19" s="208">
        <f t="shared" si="0"/>
        <v>15</v>
      </c>
      <c r="T19" s="207" t="s">
        <v>257</v>
      </c>
      <c r="U19" s="208">
        <f t="shared" si="1"/>
        <v>15</v>
      </c>
      <c r="V19" s="207" t="s">
        <v>257</v>
      </c>
      <c r="W19" s="208">
        <f t="shared" si="2"/>
        <v>15</v>
      </c>
      <c r="X19" s="207" t="s">
        <v>20</v>
      </c>
      <c r="Y19" s="208">
        <f t="shared" si="3"/>
        <v>15</v>
      </c>
      <c r="Z19" s="207" t="s">
        <v>257</v>
      </c>
      <c r="AA19" s="208">
        <f t="shared" si="4"/>
        <v>15</v>
      </c>
      <c r="AB19" s="207" t="s">
        <v>257</v>
      </c>
      <c r="AC19" s="208">
        <f t="shared" si="5"/>
        <v>15</v>
      </c>
      <c r="AD19" s="207" t="s">
        <v>117</v>
      </c>
      <c r="AE19" s="208">
        <f t="shared" si="6"/>
        <v>10</v>
      </c>
      <c r="AF19" s="270">
        <f t="shared" si="7"/>
        <v>100</v>
      </c>
      <c r="AG19" s="270" t="str">
        <f t="shared" si="8"/>
        <v>Fuerte</v>
      </c>
      <c r="AH19" s="209" t="s">
        <v>118</v>
      </c>
      <c r="AI19" s="210" t="str">
        <f t="shared" si="9"/>
        <v>Fuerte</v>
      </c>
      <c r="AJ19" s="211" t="str">
        <f>IFERROR(VLOOKUP((CONCATENATE(AG19,AI19)),Listados!$U$3:$V$11,2,FALSE),"")</f>
        <v>Fuerte</v>
      </c>
      <c r="AK19" s="270">
        <f t="shared" si="10"/>
        <v>100</v>
      </c>
      <c r="AL19" s="446">
        <f>AVERAGE(AK19:AK24)</f>
        <v>100</v>
      </c>
      <c r="AM19" s="448" t="str">
        <f>IF(AL19&lt;=50, "Débil", IF(AL19&lt;=99,"Moderado","Fuerte"))</f>
        <v>Fuerte</v>
      </c>
      <c r="AN19" s="269">
        <f>+IF(AND(Q19="Preventivo",AM19="Fuerte"),2,IF(AND(Q19="Preventivo",AM19="Moderado"),1,0))</f>
        <v>2</v>
      </c>
      <c r="AO19" s="269">
        <f>+IF(AND(Q19="Detectivo",$AM19="Fuerte"),2,IF(AND(Q19="Detectivo",$AM19="Moderado"),1,IF(AND(Q19="Preventivo",$AM19="Fuerte"),1,0)))</f>
        <v>1</v>
      </c>
      <c r="AP19" s="212">
        <f>+K19-AN19</f>
        <v>2</v>
      </c>
      <c r="AQ19" s="212">
        <f>+M19-AO19</f>
        <v>2</v>
      </c>
      <c r="AR19" s="435" t="str">
        <f>+VLOOKUP(MIN(AP19,AP20,AP21,AP22,AP23,AP24),Listados!$J$18:$K$24,2,TRUE)</f>
        <v>Improbable</v>
      </c>
      <c r="AS19" s="435" t="str">
        <f>+VLOOKUP(MIN(AQ19,AQ20,AQ21,AQ22,AQ23,AQ24),Listados!$J$26:$K$32,2,TRUE)</f>
        <v>Menor</v>
      </c>
      <c r="AT19" s="435" t="str">
        <f>IF(AND(AR19&lt;&gt;"",AS19&lt;&gt;""),VLOOKUP(AR19&amp;AS19,Listados!$M$3:$N$27,2,FALSE),"")</f>
        <v>Bajo</v>
      </c>
      <c r="AU19" s="435" t="str">
        <f>+VLOOKUP(AT19,Listados!$P$3:$Q$6,2,FALSE)</f>
        <v>Asumir el riesgo</v>
      </c>
      <c r="AV19" s="200" t="s">
        <v>1247</v>
      </c>
      <c r="AW19" s="200" t="s">
        <v>1080</v>
      </c>
      <c r="AX19" s="256">
        <v>44774</v>
      </c>
      <c r="AY19" s="256">
        <v>45107</v>
      </c>
      <c r="AZ19" s="200" t="s">
        <v>1248</v>
      </c>
      <c r="BA19" s="200" t="s">
        <v>1249</v>
      </c>
      <c r="BB19" s="344" t="s">
        <v>1378</v>
      </c>
      <c r="BC19" s="694" t="s">
        <v>1641</v>
      </c>
      <c r="BD19" s="572"/>
      <c r="BE19" s="556" t="s">
        <v>1549</v>
      </c>
      <c r="BF19" s="539" t="s">
        <v>1798</v>
      </c>
      <c r="BG19" s="559"/>
    </row>
    <row r="20" spans="1:59" ht="140">
      <c r="A20" s="437"/>
      <c r="B20" s="439"/>
      <c r="C20" s="500"/>
      <c r="D20" s="502"/>
      <c r="E20" s="267"/>
      <c r="F20" s="267"/>
      <c r="G20" s="294" t="s">
        <v>1245</v>
      </c>
      <c r="H20" s="259" t="s">
        <v>30</v>
      </c>
      <c r="I20" s="259" t="s">
        <v>331</v>
      </c>
      <c r="J20" s="476"/>
      <c r="K20" s="467"/>
      <c r="L20" s="477"/>
      <c r="M20" s="467"/>
      <c r="N20" s="434"/>
      <c r="O20" s="265" t="s">
        <v>1246</v>
      </c>
      <c r="P20" s="137" t="s">
        <v>186</v>
      </c>
      <c r="Q20" s="137" t="s">
        <v>20</v>
      </c>
      <c r="R20" s="207" t="s">
        <v>116</v>
      </c>
      <c r="S20" s="208">
        <f t="shared" si="0"/>
        <v>15</v>
      </c>
      <c r="T20" s="207" t="s">
        <v>257</v>
      </c>
      <c r="U20" s="208">
        <f t="shared" si="1"/>
        <v>15</v>
      </c>
      <c r="V20" s="207" t="s">
        <v>257</v>
      </c>
      <c r="W20" s="208">
        <f t="shared" si="2"/>
        <v>15</v>
      </c>
      <c r="X20" s="207" t="s">
        <v>20</v>
      </c>
      <c r="Y20" s="208">
        <f t="shared" si="3"/>
        <v>15</v>
      </c>
      <c r="Z20" s="207" t="s">
        <v>257</v>
      </c>
      <c r="AA20" s="208">
        <f t="shared" si="4"/>
        <v>15</v>
      </c>
      <c r="AB20" s="207" t="s">
        <v>257</v>
      </c>
      <c r="AC20" s="208">
        <f t="shared" si="5"/>
        <v>15</v>
      </c>
      <c r="AD20" s="207" t="s">
        <v>117</v>
      </c>
      <c r="AE20" s="208">
        <f t="shared" si="6"/>
        <v>10</v>
      </c>
      <c r="AF20" s="270">
        <f t="shared" si="7"/>
        <v>100</v>
      </c>
      <c r="AG20" s="270" t="str">
        <f t="shared" si="8"/>
        <v>Fuerte</v>
      </c>
      <c r="AH20" s="209" t="s">
        <v>118</v>
      </c>
      <c r="AI20" s="210" t="str">
        <f t="shared" si="9"/>
        <v>Fuerte</v>
      </c>
      <c r="AJ20" s="211" t="str">
        <f>IFERROR(VLOOKUP((CONCATENATE(AG20,AI20)),Listados!$U$3:$V$11,2,FALSE),"")</f>
        <v>Fuerte</v>
      </c>
      <c r="AK20" s="270">
        <f t="shared" si="10"/>
        <v>100</v>
      </c>
      <c r="AL20" s="447"/>
      <c r="AM20" s="449"/>
      <c r="AN20" s="269">
        <f>+IF(AND(Q20="Preventivo",AM19="Fuerte"),2,IF(AND(Q20="Preventivo",AM19="Moderado"),1,0))</f>
        <v>2</v>
      </c>
      <c r="AO20" s="269">
        <f>+IF(AND(Q20="Detectivo",$AM19="Fuerte"),2,IF(AND(Q20="Detectivo",$AM19="Moderado"),1,IF(AND(Q20="Preventivo",$AM19="Fuerte"),1,0)))</f>
        <v>1</v>
      </c>
      <c r="AP20" s="212">
        <f>+K19-AN20</f>
        <v>2</v>
      </c>
      <c r="AQ20" s="212">
        <f>+M19-AO20</f>
        <v>2</v>
      </c>
      <c r="AR20" s="433"/>
      <c r="AS20" s="433"/>
      <c r="AT20" s="433"/>
      <c r="AU20" s="433"/>
      <c r="AV20" s="548" t="s">
        <v>1119</v>
      </c>
      <c r="AW20" s="551" t="s">
        <v>1080</v>
      </c>
      <c r="AX20" s="552">
        <v>44774</v>
      </c>
      <c r="AY20" s="552">
        <v>45107</v>
      </c>
      <c r="AZ20" s="551" t="s">
        <v>1248</v>
      </c>
      <c r="BA20" s="551" t="s">
        <v>1250</v>
      </c>
      <c r="BB20" s="553" t="s">
        <v>1378</v>
      </c>
      <c r="BC20" s="430"/>
      <c r="BD20" s="430"/>
      <c r="BE20" s="557"/>
      <c r="BF20" s="540"/>
      <c r="BG20" s="549"/>
    </row>
    <row r="21" spans="1:59">
      <c r="A21" s="437"/>
      <c r="B21" s="439"/>
      <c r="C21" s="500"/>
      <c r="D21" s="502"/>
      <c r="E21" s="149"/>
      <c r="F21" s="149"/>
      <c r="G21" s="294"/>
      <c r="H21" s="259"/>
      <c r="I21" s="259"/>
      <c r="J21" s="495"/>
      <c r="K21" s="467"/>
      <c r="L21" s="478"/>
      <c r="M21" s="467"/>
      <c r="N21" s="470"/>
      <c r="O21" s="213"/>
      <c r="P21" s="231"/>
      <c r="Q21" s="231"/>
      <c r="R21" s="231"/>
      <c r="S21" s="208" t="str">
        <f t="shared" si="0"/>
        <v/>
      </c>
      <c r="T21" s="231"/>
      <c r="U21" s="208" t="str">
        <f t="shared" si="1"/>
        <v/>
      </c>
      <c r="V21" s="207"/>
      <c r="W21" s="208" t="str">
        <f t="shared" si="2"/>
        <v/>
      </c>
      <c r="X21" s="207"/>
      <c r="Y21" s="208" t="str">
        <f t="shared" si="3"/>
        <v/>
      </c>
      <c r="Z21" s="207"/>
      <c r="AA21" s="208" t="str">
        <f t="shared" si="4"/>
        <v/>
      </c>
      <c r="AB21" s="207"/>
      <c r="AC21" s="208" t="str">
        <f t="shared" si="5"/>
        <v/>
      </c>
      <c r="AD21" s="207"/>
      <c r="AE21" s="208" t="str">
        <f t="shared" si="6"/>
        <v/>
      </c>
      <c r="AF21" s="270" t="str">
        <f t="shared" si="7"/>
        <v/>
      </c>
      <c r="AG21" s="270" t="str">
        <f t="shared" si="8"/>
        <v/>
      </c>
      <c r="AH21" s="209"/>
      <c r="AI21" s="210" t="str">
        <f t="shared" si="9"/>
        <v>Débil</v>
      </c>
      <c r="AJ21" s="211" t="str">
        <f>IFERROR(VLOOKUP((CONCATENATE(AG21,AI21)),Listados!$U$3:$V$11,2,FALSE),"")</f>
        <v/>
      </c>
      <c r="AK21" s="270">
        <f t="shared" si="10"/>
        <v>100</v>
      </c>
      <c r="AL21" s="447"/>
      <c r="AM21" s="449"/>
      <c r="AN21" s="269">
        <f>+IF(AND(Q21="Preventivo",AM19="Fuerte"),2,IF(AND(Q21="Preventivo",AM19="Moderado"),1,0))</f>
        <v>0</v>
      </c>
      <c r="AO21" s="269">
        <f>+IF(AND(Q21="Detectivo",$AM19="Fuerte"),2,IF(AND(Q21="Detectivo",$AM19="Moderado"),1,IF(AND(Q21="Preventivo",$AM19="Fuerte"),1,0)))</f>
        <v>0</v>
      </c>
      <c r="AP21" s="212">
        <f>+K19-AN21</f>
        <v>4</v>
      </c>
      <c r="AQ21" s="212">
        <f>+M19-AO21</f>
        <v>3</v>
      </c>
      <c r="AR21" s="433"/>
      <c r="AS21" s="433"/>
      <c r="AT21" s="433"/>
      <c r="AU21" s="433"/>
      <c r="AV21" s="549"/>
      <c r="AW21" s="428"/>
      <c r="AX21" s="428"/>
      <c r="AY21" s="428"/>
      <c r="AZ21" s="428"/>
      <c r="BA21" s="428"/>
      <c r="BB21" s="554"/>
      <c r="BC21" s="430"/>
      <c r="BD21" s="430"/>
      <c r="BE21" s="557"/>
      <c r="BF21" s="540"/>
      <c r="BG21" s="549"/>
    </row>
    <row r="22" spans="1:59">
      <c r="A22" s="437"/>
      <c r="B22" s="439"/>
      <c r="C22" s="500"/>
      <c r="D22" s="502"/>
      <c r="E22" s="149"/>
      <c r="F22" s="149"/>
      <c r="G22" s="294"/>
      <c r="H22" s="259"/>
      <c r="I22" s="259"/>
      <c r="J22" s="495"/>
      <c r="K22" s="467"/>
      <c r="L22" s="478"/>
      <c r="M22" s="467"/>
      <c r="N22" s="470"/>
      <c r="O22" s="213"/>
      <c r="P22" s="231"/>
      <c r="Q22" s="231"/>
      <c r="R22" s="231"/>
      <c r="S22" s="208" t="str">
        <f t="shared" si="0"/>
        <v/>
      </c>
      <c r="T22" s="231"/>
      <c r="U22" s="208" t="str">
        <f t="shared" si="1"/>
        <v/>
      </c>
      <c r="V22" s="207"/>
      <c r="W22" s="208" t="str">
        <f t="shared" si="2"/>
        <v/>
      </c>
      <c r="X22" s="207"/>
      <c r="Y22" s="208" t="str">
        <f t="shared" si="3"/>
        <v/>
      </c>
      <c r="Z22" s="207"/>
      <c r="AA22" s="208" t="str">
        <f t="shared" si="4"/>
        <v/>
      </c>
      <c r="AB22" s="207"/>
      <c r="AC22" s="208" t="str">
        <f t="shared" si="5"/>
        <v/>
      </c>
      <c r="AD22" s="207"/>
      <c r="AE22" s="208" t="str">
        <f t="shared" si="6"/>
        <v/>
      </c>
      <c r="AF22" s="270" t="str">
        <f t="shared" si="7"/>
        <v/>
      </c>
      <c r="AG22" s="270" t="str">
        <f t="shared" si="8"/>
        <v/>
      </c>
      <c r="AH22" s="209"/>
      <c r="AI22" s="210" t="str">
        <f t="shared" si="9"/>
        <v>Débil</v>
      </c>
      <c r="AJ22" s="211" t="str">
        <f>IFERROR(VLOOKUP((CONCATENATE(AG22,AI22)),Listados!$U$3:$V$11,2,FALSE),"")</f>
        <v/>
      </c>
      <c r="AK22" s="270">
        <f t="shared" si="10"/>
        <v>100</v>
      </c>
      <c r="AL22" s="447"/>
      <c r="AM22" s="449"/>
      <c r="AN22" s="269">
        <f>+IF(AND(Q22="Preventivo",AM19="Fuerte"),2,IF(AND(Q22="Preventivo",AM19="Moderado"),1,0))</f>
        <v>0</v>
      </c>
      <c r="AO22" s="269">
        <f>+IF(AND(Q22="Detectivo",$AM19="Fuerte"),2,IF(AND(Q22="Detectivo",$AM19="Moderado"),1,IF(AND(Q22="Preventivo",$AM19="Fuerte"),1,0)))</f>
        <v>0</v>
      </c>
      <c r="AP22" s="212">
        <f>+K19-AN22</f>
        <v>4</v>
      </c>
      <c r="AQ22" s="212">
        <f>+M19-AO22</f>
        <v>3</v>
      </c>
      <c r="AR22" s="433"/>
      <c r="AS22" s="433"/>
      <c r="AT22" s="433"/>
      <c r="AU22" s="433"/>
      <c r="AV22" s="549"/>
      <c r="AW22" s="428"/>
      <c r="AX22" s="428"/>
      <c r="AY22" s="428"/>
      <c r="AZ22" s="428"/>
      <c r="BA22" s="428"/>
      <c r="BB22" s="554"/>
      <c r="BC22" s="430"/>
      <c r="BD22" s="430"/>
      <c r="BE22" s="557"/>
      <c r="BF22" s="540"/>
      <c r="BG22" s="549"/>
    </row>
    <row r="23" spans="1:59">
      <c r="A23" s="437"/>
      <c r="B23" s="439"/>
      <c r="C23" s="500"/>
      <c r="D23" s="502"/>
      <c r="E23" s="149"/>
      <c r="F23" s="149"/>
      <c r="G23" s="294"/>
      <c r="H23" s="259"/>
      <c r="I23" s="259"/>
      <c r="J23" s="495"/>
      <c r="K23" s="467"/>
      <c r="L23" s="478"/>
      <c r="M23" s="467"/>
      <c r="N23" s="470"/>
      <c r="O23" s="213"/>
      <c r="P23" s="231"/>
      <c r="Q23" s="231"/>
      <c r="R23" s="231"/>
      <c r="S23" s="208" t="str">
        <f t="shared" si="0"/>
        <v/>
      </c>
      <c r="T23" s="231"/>
      <c r="U23" s="208" t="str">
        <f t="shared" si="1"/>
        <v/>
      </c>
      <c r="V23" s="207"/>
      <c r="W23" s="208" t="str">
        <f t="shared" si="2"/>
        <v/>
      </c>
      <c r="X23" s="207"/>
      <c r="Y23" s="208" t="str">
        <f t="shared" si="3"/>
        <v/>
      </c>
      <c r="Z23" s="207"/>
      <c r="AA23" s="208" t="str">
        <f t="shared" si="4"/>
        <v/>
      </c>
      <c r="AB23" s="207"/>
      <c r="AC23" s="208" t="str">
        <f t="shared" si="5"/>
        <v/>
      </c>
      <c r="AD23" s="207"/>
      <c r="AE23" s="208" t="str">
        <f t="shared" si="6"/>
        <v/>
      </c>
      <c r="AF23" s="270" t="str">
        <f t="shared" si="7"/>
        <v/>
      </c>
      <c r="AG23" s="270" t="str">
        <f t="shared" si="8"/>
        <v/>
      </c>
      <c r="AH23" s="209"/>
      <c r="AI23" s="210" t="str">
        <f t="shared" si="9"/>
        <v>Débil</v>
      </c>
      <c r="AJ23" s="211" t="str">
        <f>IFERROR(VLOOKUP((CONCATENATE(AG23,AI23)),Listados!$U$3:$V$11,2,FALSE),"")</f>
        <v/>
      </c>
      <c r="AK23" s="270">
        <f t="shared" si="10"/>
        <v>100</v>
      </c>
      <c r="AL23" s="447"/>
      <c r="AM23" s="449"/>
      <c r="AN23" s="269">
        <f>+IF(AND(Q23="Preventivo",AM19="Fuerte"),2,IF(AND(Q23="Preventivo",AM19="Moderado"),1,0))</f>
        <v>0</v>
      </c>
      <c r="AO23" s="269">
        <f>+IF(AND(Q23="Detectivo",$AM19="Fuerte"),2,IF(AND(Q23="Detectivo",$AM19="Moderado"),1,IF(AND(Q23="Preventivo",$AM19="Fuerte"),1,0)))</f>
        <v>0</v>
      </c>
      <c r="AP23" s="212">
        <f>+K19-AN23</f>
        <v>4</v>
      </c>
      <c r="AQ23" s="212">
        <f>+M19-AO23</f>
        <v>3</v>
      </c>
      <c r="AR23" s="433"/>
      <c r="AS23" s="433"/>
      <c r="AT23" s="433"/>
      <c r="AU23" s="433"/>
      <c r="AV23" s="549"/>
      <c r="AW23" s="428"/>
      <c r="AX23" s="428"/>
      <c r="AY23" s="428"/>
      <c r="AZ23" s="428"/>
      <c r="BA23" s="428"/>
      <c r="BB23" s="554"/>
      <c r="BC23" s="430"/>
      <c r="BD23" s="430"/>
      <c r="BE23" s="557"/>
      <c r="BF23" s="540"/>
      <c r="BG23" s="549"/>
    </row>
    <row r="24" spans="1:59" ht="14.5" thickBot="1">
      <c r="A24" s="438"/>
      <c r="B24" s="439"/>
      <c r="C24" s="500"/>
      <c r="D24" s="502"/>
      <c r="E24" s="149"/>
      <c r="F24" s="149"/>
      <c r="G24" s="294"/>
      <c r="H24" s="259"/>
      <c r="I24" s="259"/>
      <c r="J24" s="495"/>
      <c r="K24" s="468"/>
      <c r="L24" s="478"/>
      <c r="M24" s="468"/>
      <c r="N24" s="470"/>
      <c r="O24" s="214"/>
      <c r="P24" s="231"/>
      <c r="Q24" s="231"/>
      <c r="R24" s="231"/>
      <c r="S24" s="208" t="str">
        <f t="shared" si="0"/>
        <v/>
      </c>
      <c r="T24" s="231"/>
      <c r="U24" s="208" t="str">
        <f t="shared" si="1"/>
        <v/>
      </c>
      <c r="V24" s="207"/>
      <c r="W24" s="208" t="str">
        <f t="shared" si="2"/>
        <v/>
      </c>
      <c r="X24" s="207"/>
      <c r="Y24" s="208" t="str">
        <f t="shared" si="3"/>
        <v/>
      </c>
      <c r="Z24" s="207"/>
      <c r="AA24" s="208" t="str">
        <f t="shared" si="4"/>
        <v/>
      </c>
      <c r="AB24" s="207"/>
      <c r="AC24" s="208" t="str">
        <f t="shared" si="5"/>
        <v/>
      </c>
      <c r="AD24" s="207"/>
      <c r="AE24" s="208" t="str">
        <f t="shared" si="6"/>
        <v/>
      </c>
      <c r="AF24" s="270" t="str">
        <f t="shared" si="7"/>
        <v/>
      </c>
      <c r="AG24" s="270" t="str">
        <f t="shared" si="8"/>
        <v/>
      </c>
      <c r="AH24" s="209"/>
      <c r="AI24" s="210" t="str">
        <f t="shared" si="9"/>
        <v>Débil</v>
      </c>
      <c r="AJ24" s="211" t="str">
        <f>IFERROR(VLOOKUP((CONCATENATE(AG24,AI24)),Listados!$U$3:$V$11,2,FALSE),"")</f>
        <v/>
      </c>
      <c r="AK24" s="270">
        <f t="shared" si="10"/>
        <v>100</v>
      </c>
      <c r="AL24" s="448"/>
      <c r="AM24" s="449"/>
      <c r="AN24" s="269">
        <f>+IF(AND(Q24="Preventivo",AM19="Fuerte"),2,IF(AND(Q24="Preventivo",AM19="Moderado"),1,0))</f>
        <v>0</v>
      </c>
      <c r="AO24" s="269">
        <f>+IF(AND(Q24="Detectivo",$AM19="Fuerte"),2,IF(AND(Q24="Detectivo",$AM19="Moderado"),1,IF(AND(Q24="Preventivo",$AM19="Fuerte"),1,0)))</f>
        <v>0</v>
      </c>
      <c r="AP24" s="212">
        <f>+K19-AN24</f>
        <v>4</v>
      </c>
      <c r="AQ24" s="212">
        <f>+M19-AO24</f>
        <v>3</v>
      </c>
      <c r="AR24" s="434"/>
      <c r="AS24" s="434"/>
      <c r="AT24" s="434"/>
      <c r="AU24" s="434"/>
      <c r="AV24" s="550"/>
      <c r="AW24" s="429"/>
      <c r="AX24" s="429"/>
      <c r="AY24" s="429"/>
      <c r="AZ24" s="429"/>
      <c r="BA24" s="429"/>
      <c r="BB24" s="555"/>
      <c r="BC24" s="431"/>
      <c r="BD24" s="431"/>
      <c r="BE24" s="558"/>
      <c r="BF24" s="541"/>
      <c r="BG24" s="550"/>
    </row>
    <row r="25" spans="1:59" ht="101.5">
      <c r="A25" s="436">
        <v>4</v>
      </c>
      <c r="B25" s="439" t="s">
        <v>27</v>
      </c>
      <c r="C25" s="500" t="str">
        <f>IFERROR(VLOOKUP(B25,Listados!B$3:C$20,2,FALSE),"")</f>
        <v>Proveer información oportuna, confiable, veraz y accesible a clientes internos y externos del Ministerio de Justicia y del Derecho.</v>
      </c>
      <c r="D25" s="502" t="s">
        <v>1284</v>
      </c>
      <c r="E25" s="149" t="s">
        <v>15</v>
      </c>
      <c r="F25" s="149" t="s">
        <v>177</v>
      </c>
      <c r="G25" s="137" t="s">
        <v>187</v>
      </c>
      <c r="H25" s="137" t="s">
        <v>16</v>
      </c>
      <c r="I25" s="137" t="s">
        <v>188</v>
      </c>
      <c r="J25" s="495" t="s">
        <v>21</v>
      </c>
      <c r="K25" s="466">
        <f>+VLOOKUP(J25,Listados!$K$8:$L$12,2,0)</f>
        <v>1</v>
      </c>
      <c r="L25" s="519" t="s">
        <v>64</v>
      </c>
      <c r="M25" s="466">
        <f>+VLOOKUP(L25,Listados!$K$13:$L$17,2,0)</f>
        <v>5</v>
      </c>
      <c r="N25" s="434" t="str">
        <f>IF(AND(J25&lt;&gt;"",L25&lt;&gt;""),VLOOKUP(J25&amp;L25,Listados!$M$3:$N$27,2,FALSE),"")</f>
        <v>Extremo</v>
      </c>
      <c r="O25" s="330" t="s">
        <v>1233</v>
      </c>
      <c r="P25" s="146" t="s">
        <v>187</v>
      </c>
      <c r="Q25" s="137" t="s">
        <v>123</v>
      </c>
      <c r="R25" s="207" t="s">
        <v>116</v>
      </c>
      <c r="S25" s="208">
        <f t="shared" ref="S25:S28" si="11">+IF(R25="si",15,"")</f>
        <v>15</v>
      </c>
      <c r="T25" s="207" t="s">
        <v>257</v>
      </c>
      <c r="U25" s="208">
        <f t="shared" ref="U25:U28" si="12">+IF(T25="si",15,"")</f>
        <v>15</v>
      </c>
      <c r="V25" s="207" t="s">
        <v>257</v>
      </c>
      <c r="W25" s="208">
        <f t="shared" ref="W25:W28" si="13">+IF(V25="si",15,"")</f>
        <v>15</v>
      </c>
      <c r="X25" s="207" t="s">
        <v>123</v>
      </c>
      <c r="Y25" s="208">
        <f t="shared" ref="Y25:Y28" si="14">+IF(X25="Preventivo",15,IF(X25="Detectivo",10,""))</f>
        <v>10</v>
      </c>
      <c r="Z25" s="207" t="s">
        <v>257</v>
      </c>
      <c r="AA25" s="208">
        <f t="shared" ref="AA25:AA28" si="15">+IF(Z25="si",15,"")</f>
        <v>15</v>
      </c>
      <c r="AB25" s="207" t="s">
        <v>257</v>
      </c>
      <c r="AC25" s="208">
        <f t="shared" ref="AC25:AC28" si="16">+IF(AB25="si",15,"")</f>
        <v>15</v>
      </c>
      <c r="AD25" s="207" t="s">
        <v>117</v>
      </c>
      <c r="AE25" s="208">
        <f t="shared" si="6"/>
        <v>10</v>
      </c>
      <c r="AF25" s="270">
        <f t="shared" si="7"/>
        <v>95</v>
      </c>
      <c r="AG25" s="270" t="str">
        <f t="shared" si="8"/>
        <v>Moderado</v>
      </c>
      <c r="AH25" s="209" t="s">
        <v>118</v>
      </c>
      <c r="AI25" s="210" t="str">
        <f t="shared" si="9"/>
        <v>Fuerte</v>
      </c>
      <c r="AJ25" s="211" t="str">
        <f>IFERROR(VLOOKUP((CONCATENATE(AG25,AI25)),Listados!$U$3:$V$11,2,FALSE),"")</f>
        <v>Moderado</v>
      </c>
      <c r="AK25" s="270">
        <f t="shared" si="10"/>
        <v>50</v>
      </c>
      <c r="AL25" s="446">
        <f>AVERAGE(AK25:AK30)</f>
        <v>83.333333333333329</v>
      </c>
      <c r="AM25" s="448" t="str">
        <f>IF(AL25&lt;=50, "Débil", IF(AL25&lt;=99,"Moderado","Fuerte"))</f>
        <v>Moderado</v>
      </c>
      <c r="AN25" s="269">
        <f>+IF(AND(Q25="Preventivo",AM25="Fuerte"),2,IF(AND(Q25="Preventivo",AM25="Moderado"),1,0))</f>
        <v>0</v>
      </c>
      <c r="AO25" s="269">
        <f>+IF(AND(Q25="Detectivo",$AM25="Fuerte"),2,IF(AND(Q25="Detectivo",$AM25="Moderado"),1,IF(AND(Q25="Preventivo",$AM25="Fuerte"),1,0)))</f>
        <v>1</v>
      </c>
      <c r="AP25" s="212">
        <f>+K25-AN25</f>
        <v>1</v>
      </c>
      <c r="AQ25" s="212">
        <f>+M25-AO25</f>
        <v>4</v>
      </c>
      <c r="AR25" s="435" t="str">
        <f>+VLOOKUP(MIN(AP25,AP26,AP27,AP28,AP29,AP30),Listados!$J$18:$K$24,2,TRUE)</f>
        <v>Rara Vez</v>
      </c>
      <c r="AS25" s="435" t="str">
        <f>+VLOOKUP(MIN(AQ25,AQ26,AQ27,AQ28,AQ29,AQ30),Listados!$J$26:$K$32,2,TRUE)</f>
        <v>Mayor</v>
      </c>
      <c r="AT25" s="435" t="str">
        <f>IF(AND(AR25&lt;&gt;"",AS25&lt;&gt;""),VLOOKUP(AR25&amp;AS25,Listados!$M$3:$N$27,2,FALSE),"")</f>
        <v>Alto</v>
      </c>
      <c r="AU25" s="435" t="str">
        <f>+VLOOKUP(AT25,Listados!$P$3:$Q$6,2,FALSE)</f>
        <v>Reducir el riesgo</v>
      </c>
      <c r="AV25" s="199" t="s">
        <v>1165</v>
      </c>
      <c r="AW25" s="198" t="s">
        <v>1157</v>
      </c>
      <c r="AX25" s="240">
        <v>44774</v>
      </c>
      <c r="AY25" s="240">
        <v>44926</v>
      </c>
      <c r="AZ25" s="199" t="s">
        <v>1166</v>
      </c>
      <c r="BA25" s="199" t="s">
        <v>1167</v>
      </c>
      <c r="BB25" s="352" t="s">
        <v>1393</v>
      </c>
      <c r="BC25" s="202" t="s">
        <v>1647</v>
      </c>
      <c r="BD25" s="202"/>
      <c r="BE25" s="556" t="s">
        <v>1550</v>
      </c>
      <c r="BF25" s="559" t="s">
        <v>1799</v>
      </c>
      <c r="BG25" s="559"/>
    </row>
    <row r="26" spans="1:59" ht="98">
      <c r="A26" s="437"/>
      <c r="B26" s="439"/>
      <c r="C26" s="500"/>
      <c r="D26" s="502"/>
      <c r="E26" s="149"/>
      <c r="F26" s="149" t="s">
        <v>189</v>
      </c>
      <c r="G26" s="137" t="s">
        <v>190</v>
      </c>
      <c r="H26" s="137" t="s">
        <v>16</v>
      </c>
      <c r="I26" s="137" t="s">
        <v>191</v>
      </c>
      <c r="J26" s="495"/>
      <c r="K26" s="467"/>
      <c r="L26" s="518"/>
      <c r="M26" s="467"/>
      <c r="N26" s="470"/>
      <c r="O26" s="330" t="s">
        <v>1234</v>
      </c>
      <c r="P26" s="146" t="s">
        <v>190</v>
      </c>
      <c r="Q26" s="137" t="s">
        <v>20</v>
      </c>
      <c r="R26" s="207" t="s">
        <v>116</v>
      </c>
      <c r="S26" s="208">
        <f t="shared" si="11"/>
        <v>15</v>
      </c>
      <c r="T26" s="207" t="s">
        <v>257</v>
      </c>
      <c r="U26" s="208">
        <f t="shared" si="12"/>
        <v>15</v>
      </c>
      <c r="V26" s="207" t="s">
        <v>257</v>
      </c>
      <c r="W26" s="208">
        <f t="shared" si="13"/>
        <v>15</v>
      </c>
      <c r="X26" s="207" t="s">
        <v>20</v>
      </c>
      <c r="Y26" s="208">
        <f t="shared" si="14"/>
        <v>15</v>
      </c>
      <c r="Z26" s="207" t="s">
        <v>257</v>
      </c>
      <c r="AA26" s="208">
        <f t="shared" si="15"/>
        <v>15</v>
      </c>
      <c r="AB26" s="207" t="s">
        <v>257</v>
      </c>
      <c r="AC26" s="208">
        <f t="shared" si="16"/>
        <v>15</v>
      </c>
      <c r="AD26" s="207" t="s">
        <v>117</v>
      </c>
      <c r="AE26" s="208">
        <f t="shared" si="6"/>
        <v>10</v>
      </c>
      <c r="AF26" s="270">
        <f t="shared" si="7"/>
        <v>100</v>
      </c>
      <c r="AG26" s="270" t="str">
        <f t="shared" si="8"/>
        <v>Fuerte</v>
      </c>
      <c r="AH26" s="209" t="s">
        <v>118</v>
      </c>
      <c r="AI26" s="210" t="str">
        <f t="shared" si="9"/>
        <v>Fuerte</v>
      </c>
      <c r="AJ26" s="211" t="str">
        <f>IFERROR(VLOOKUP((CONCATENATE(AG26,AI26)),Listados!$U$3:$V$11,2,FALSE),"")</f>
        <v>Fuerte</v>
      </c>
      <c r="AK26" s="270">
        <f t="shared" si="10"/>
        <v>100</v>
      </c>
      <c r="AL26" s="447"/>
      <c r="AM26" s="449"/>
      <c r="AN26" s="269">
        <f>+IF(AND(Q26="Preventivo",AM25="Fuerte"),2,IF(AND(Q26="Preventivo",AM25="Moderado"),1,0))</f>
        <v>1</v>
      </c>
      <c r="AO26" s="269">
        <f>+IF(AND(Q26="Detectivo",$AM25="Fuerte"),2,IF(AND(Q26="Detectivo",$AM25="Moderado"),1,IF(AND(Q26="Preventivo",$AM25="Fuerte"),1,0)))</f>
        <v>0</v>
      </c>
      <c r="AP26" s="212">
        <f>+K25-AN26</f>
        <v>0</v>
      </c>
      <c r="AQ26" s="212">
        <f>+M25-AO26</f>
        <v>5</v>
      </c>
      <c r="AR26" s="433"/>
      <c r="AS26" s="433"/>
      <c r="AT26" s="433"/>
      <c r="AU26" s="433"/>
      <c r="AV26" s="199" t="s">
        <v>1168</v>
      </c>
      <c r="AW26" s="198" t="s">
        <v>1157</v>
      </c>
      <c r="AX26" s="240">
        <v>44774</v>
      </c>
      <c r="AY26" s="240">
        <v>44926</v>
      </c>
      <c r="AZ26" s="199" t="s">
        <v>1166</v>
      </c>
      <c r="BA26" s="199" t="s">
        <v>1169</v>
      </c>
      <c r="BB26" s="353" t="s">
        <v>1395</v>
      </c>
      <c r="BC26" s="202" t="s">
        <v>1648</v>
      </c>
      <c r="BD26" s="202"/>
      <c r="BE26" s="557"/>
      <c r="BF26" s="549"/>
      <c r="BG26" s="549"/>
    </row>
    <row r="27" spans="1:59" ht="98">
      <c r="A27" s="437"/>
      <c r="B27" s="439"/>
      <c r="C27" s="500"/>
      <c r="D27" s="502"/>
      <c r="E27" s="149"/>
      <c r="F27" s="149"/>
      <c r="G27" s="137" t="s">
        <v>192</v>
      </c>
      <c r="H27" s="137" t="s">
        <v>16</v>
      </c>
      <c r="I27" s="137" t="s">
        <v>193</v>
      </c>
      <c r="J27" s="495"/>
      <c r="K27" s="467"/>
      <c r="L27" s="518"/>
      <c r="M27" s="467"/>
      <c r="N27" s="470"/>
      <c r="O27" s="330" t="s">
        <v>1235</v>
      </c>
      <c r="P27" s="146" t="s">
        <v>192</v>
      </c>
      <c r="Q27" s="137" t="s">
        <v>123</v>
      </c>
      <c r="R27" s="207" t="s">
        <v>116</v>
      </c>
      <c r="S27" s="208">
        <f t="shared" si="11"/>
        <v>15</v>
      </c>
      <c r="T27" s="207" t="s">
        <v>257</v>
      </c>
      <c r="U27" s="208">
        <f t="shared" si="12"/>
        <v>15</v>
      </c>
      <c r="V27" s="207" t="s">
        <v>257</v>
      </c>
      <c r="W27" s="208">
        <f t="shared" si="13"/>
        <v>15</v>
      </c>
      <c r="X27" s="207" t="s">
        <v>123</v>
      </c>
      <c r="Y27" s="208">
        <f t="shared" si="14"/>
        <v>10</v>
      </c>
      <c r="Z27" s="207" t="s">
        <v>257</v>
      </c>
      <c r="AA27" s="208">
        <f t="shared" si="15"/>
        <v>15</v>
      </c>
      <c r="AB27" s="207" t="s">
        <v>257</v>
      </c>
      <c r="AC27" s="208">
        <f t="shared" si="16"/>
        <v>15</v>
      </c>
      <c r="AD27" s="207" t="s">
        <v>117</v>
      </c>
      <c r="AE27" s="208">
        <f t="shared" si="6"/>
        <v>10</v>
      </c>
      <c r="AF27" s="270">
        <f t="shared" si="7"/>
        <v>95</v>
      </c>
      <c r="AG27" s="270" t="str">
        <f t="shared" si="8"/>
        <v>Moderado</v>
      </c>
      <c r="AH27" s="209" t="s">
        <v>118</v>
      </c>
      <c r="AI27" s="210" t="str">
        <f t="shared" si="9"/>
        <v>Fuerte</v>
      </c>
      <c r="AJ27" s="211" t="str">
        <f>IFERROR(VLOOKUP((CONCATENATE(AG27,AI27)),Listados!$U$3:$V$11,2,FALSE),"")</f>
        <v>Moderado</v>
      </c>
      <c r="AK27" s="270">
        <f t="shared" si="10"/>
        <v>50</v>
      </c>
      <c r="AL27" s="447"/>
      <c r="AM27" s="449"/>
      <c r="AN27" s="269">
        <f>+IF(AND(Q27="Preventivo",AM25="Fuerte"),2,IF(AND(Q27="Preventivo",AM25="Moderado"),1,0))</f>
        <v>0</v>
      </c>
      <c r="AO27" s="269">
        <f>+IF(AND(Q27="Detectivo",$AM25="Fuerte"),2,IF(AND(Q27="Detectivo",$AM25="Moderado"),1,IF(AND(Q27="Preventivo",$AM25="Fuerte"),1,0)))</f>
        <v>1</v>
      </c>
      <c r="AP27" s="212">
        <f>+K25-AN27</f>
        <v>1</v>
      </c>
      <c r="AQ27" s="212">
        <f>+M25-AO27</f>
        <v>4</v>
      </c>
      <c r="AR27" s="433"/>
      <c r="AS27" s="433"/>
      <c r="AT27" s="433"/>
      <c r="AU27" s="433"/>
      <c r="AV27" s="199" t="s">
        <v>1165</v>
      </c>
      <c r="AW27" s="198" t="s">
        <v>1157</v>
      </c>
      <c r="AX27" s="240">
        <v>44774</v>
      </c>
      <c r="AY27" s="240">
        <v>44926</v>
      </c>
      <c r="AZ27" s="199" t="s">
        <v>1166</v>
      </c>
      <c r="BA27" s="199" t="s">
        <v>1167</v>
      </c>
      <c r="BB27" s="536" t="s">
        <v>1394</v>
      </c>
      <c r="BC27" s="202" t="s">
        <v>1647</v>
      </c>
      <c r="BD27" s="202"/>
      <c r="BE27" s="557"/>
      <c r="BF27" s="549"/>
      <c r="BG27" s="549"/>
    </row>
    <row r="28" spans="1:59" ht="126">
      <c r="A28" s="437"/>
      <c r="B28" s="439"/>
      <c r="C28" s="500"/>
      <c r="D28" s="502"/>
      <c r="E28" s="149"/>
      <c r="F28" s="149"/>
      <c r="G28" s="137" t="s">
        <v>194</v>
      </c>
      <c r="H28" s="137" t="s">
        <v>16</v>
      </c>
      <c r="I28" s="137" t="s">
        <v>193</v>
      </c>
      <c r="J28" s="495"/>
      <c r="K28" s="467"/>
      <c r="L28" s="518"/>
      <c r="M28" s="467"/>
      <c r="N28" s="470"/>
      <c r="O28" s="330" t="s">
        <v>195</v>
      </c>
      <c r="P28" s="146" t="s">
        <v>190</v>
      </c>
      <c r="Q28" s="137" t="s">
        <v>20</v>
      </c>
      <c r="R28" s="207" t="s">
        <v>116</v>
      </c>
      <c r="S28" s="208">
        <f t="shared" si="11"/>
        <v>15</v>
      </c>
      <c r="T28" s="207" t="s">
        <v>257</v>
      </c>
      <c r="U28" s="208">
        <f t="shared" si="12"/>
        <v>15</v>
      </c>
      <c r="V28" s="207" t="s">
        <v>257</v>
      </c>
      <c r="W28" s="208">
        <f t="shared" si="13"/>
        <v>15</v>
      </c>
      <c r="X28" s="207" t="s">
        <v>20</v>
      </c>
      <c r="Y28" s="208">
        <f t="shared" si="14"/>
        <v>15</v>
      </c>
      <c r="Z28" s="207" t="s">
        <v>257</v>
      </c>
      <c r="AA28" s="208">
        <f t="shared" si="15"/>
        <v>15</v>
      </c>
      <c r="AB28" s="207" t="s">
        <v>257</v>
      </c>
      <c r="AC28" s="208">
        <f t="shared" si="16"/>
        <v>15</v>
      </c>
      <c r="AD28" s="207" t="s">
        <v>117</v>
      </c>
      <c r="AE28" s="208">
        <f t="shared" si="6"/>
        <v>10</v>
      </c>
      <c r="AF28" s="270">
        <f t="shared" si="7"/>
        <v>100</v>
      </c>
      <c r="AG28" s="270" t="str">
        <f t="shared" si="8"/>
        <v>Fuerte</v>
      </c>
      <c r="AH28" s="209" t="s">
        <v>118</v>
      </c>
      <c r="AI28" s="210" t="str">
        <f t="shared" si="9"/>
        <v>Fuerte</v>
      </c>
      <c r="AJ28" s="211" t="str">
        <f>IFERROR(VLOOKUP((CONCATENATE(AG28,AI28)),Listados!$U$3:$V$11,2,FALSE),"")</f>
        <v>Fuerte</v>
      </c>
      <c r="AK28" s="270">
        <f t="shared" si="10"/>
        <v>100</v>
      </c>
      <c r="AL28" s="447"/>
      <c r="AM28" s="449"/>
      <c r="AN28" s="269">
        <f>+IF(AND(Q28="Preventivo",AM25="Fuerte"),2,IF(AND(Q28="Preventivo",AM25="Moderado"),1,0))</f>
        <v>1</v>
      </c>
      <c r="AO28" s="269">
        <f>+IF(AND(Q28="Detectivo",$AM25="Fuerte"),2,IF(AND(Q28="Detectivo",$AM25="Moderado"),1,IF(AND(Q28="Preventivo",$AM25="Fuerte"),1,0)))</f>
        <v>0</v>
      </c>
      <c r="AP28" s="212">
        <f>+K25-AN28</f>
        <v>0</v>
      </c>
      <c r="AQ28" s="212">
        <f>+M25-AO28</f>
        <v>5</v>
      </c>
      <c r="AR28" s="433"/>
      <c r="AS28" s="433"/>
      <c r="AT28" s="433"/>
      <c r="AU28" s="433"/>
      <c r="AV28" s="199" t="s">
        <v>1170</v>
      </c>
      <c r="AW28" s="198" t="s">
        <v>1157</v>
      </c>
      <c r="AX28" s="240">
        <v>44774</v>
      </c>
      <c r="AY28" s="240">
        <v>44926</v>
      </c>
      <c r="AZ28" s="199" t="s">
        <v>1171</v>
      </c>
      <c r="BA28" s="199" t="s">
        <v>1172</v>
      </c>
      <c r="BB28" s="537"/>
      <c r="BC28" s="202"/>
      <c r="BD28" s="202"/>
      <c r="BE28" s="557"/>
      <c r="BF28" s="549"/>
      <c r="BG28" s="549"/>
    </row>
    <row r="29" spans="1:59" ht="28">
      <c r="A29" s="437"/>
      <c r="B29" s="439"/>
      <c r="C29" s="500"/>
      <c r="D29" s="502"/>
      <c r="E29" s="149"/>
      <c r="F29" s="149"/>
      <c r="G29" s="137" t="s">
        <v>1283</v>
      </c>
      <c r="H29" s="137"/>
      <c r="I29" s="137"/>
      <c r="J29" s="495"/>
      <c r="K29" s="467"/>
      <c r="L29" s="518"/>
      <c r="M29" s="467"/>
      <c r="N29" s="470"/>
      <c r="O29" s="149"/>
      <c r="P29" s="283"/>
      <c r="Q29" s="283"/>
      <c r="R29" s="231"/>
      <c r="S29" s="208" t="str">
        <f t="shared" si="0"/>
        <v/>
      </c>
      <c r="T29" s="231"/>
      <c r="U29" s="208" t="str">
        <f t="shared" si="1"/>
        <v/>
      </c>
      <c r="V29" s="207"/>
      <c r="W29" s="208" t="str">
        <f t="shared" si="2"/>
        <v/>
      </c>
      <c r="X29" s="207"/>
      <c r="Y29" s="208" t="str">
        <f t="shared" si="3"/>
        <v/>
      </c>
      <c r="Z29" s="207"/>
      <c r="AA29" s="208" t="str">
        <f t="shared" si="4"/>
        <v/>
      </c>
      <c r="AB29" s="207"/>
      <c r="AC29" s="208" t="str">
        <f t="shared" si="5"/>
        <v/>
      </c>
      <c r="AD29" s="207"/>
      <c r="AE29" s="208" t="str">
        <f t="shared" si="6"/>
        <v/>
      </c>
      <c r="AF29" s="270" t="str">
        <f t="shared" si="7"/>
        <v/>
      </c>
      <c r="AG29" s="270" t="str">
        <f t="shared" si="8"/>
        <v/>
      </c>
      <c r="AH29" s="209"/>
      <c r="AI29" s="210" t="str">
        <f t="shared" si="9"/>
        <v>Débil</v>
      </c>
      <c r="AJ29" s="211" t="str">
        <f>IFERROR(VLOOKUP((CONCATENATE(AG29,AI29)),Listados!$U$3:$V$11,2,FALSE),"")</f>
        <v/>
      </c>
      <c r="AK29" s="270">
        <f t="shared" si="10"/>
        <v>100</v>
      </c>
      <c r="AL29" s="447"/>
      <c r="AM29" s="449"/>
      <c r="AN29" s="269">
        <f>+IF(AND(Q29="Preventivo",AM25="Fuerte"),2,IF(AND(Q29="Preventivo",AM25="Moderado"),1,0))</f>
        <v>0</v>
      </c>
      <c r="AO29" s="269">
        <f>+IF(AND(Q29="Detectivo",$AM25="Fuerte"),2,IF(AND(Q29="Detectivo",$AM25="Moderado"),1,IF(AND(Q29="Preventivo",$AM25="Fuerte"),1,0)))</f>
        <v>0</v>
      </c>
      <c r="AP29" s="212">
        <f>+K25-AN29</f>
        <v>1</v>
      </c>
      <c r="AQ29" s="212">
        <f>+M25-AO29</f>
        <v>5</v>
      </c>
      <c r="AR29" s="433"/>
      <c r="AS29" s="433"/>
      <c r="AT29" s="433"/>
      <c r="AU29" s="433"/>
      <c r="AV29" s="201"/>
      <c r="AW29" s="201"/>
      <c r="AX29" s="201"/>
      <c r="AY29" s="201"/>
      <c r="AZ29" s="201"/>
      <c r="BA29" s="201"/>
      <c r="BB29" s="365"/>
      <c r="BC29" s="282"/>
      <c r="BD29" s="282"/>
      <c r="BE29" s="557"/>
      <c r="BF29" s="549"/>
      <c r="BG29" s="549"/>
    </row>
    <row r="30" spans="1:59" ht="15" thickBot="1">
      <c r="A30" s="438"/>
      <c r="B30" s="439"/>
      <c r="C30" s="500"/>
      <c r="D30" s="502"/>
      <c r="E30" s="149"/>
      <c r="F30" s="149"/>
      <c r="G30" s="137"/>
      <c r="H30" s="137"/>
      <c r="I30" s="137"/>
      <c r="J30" s="495"/>
      <c r="K30" s="468"/>
      <c r="L30" s="477"/>
      <c r="M30" s="468"/>
      <c r="N30" s="470"/>
      <c r="O30" s="149"/>
      <c r="P30" s="283"/>
      <c r="Q30" s="283"/>
      <c r="R30" s="231"/>
      <c r="S30" s="208" t="str">
        <f t="shared" si="0"/>
        <v/>
      </c>
      <c r="T30" s="231"/>
      <c r="U30" s="208" t="str">
        <f t="shared" si="1"/>
        <v/>
      </c>
      <c r="V30" s="207"/>
      <c r="W30" s="208" t="str">
        <f t="shared" si="2"/>
        <v/>
      </c>
      <c r="X30" s="207"/>
      <c r="Y30" s="208" t="str">
        <f t="shared" si="3"/>
        <v/>
      </c>
      <c r="Z30" s="207"/>
      <c r="AA30" s="208" t="str">
        <f t="shared" si="4"/>
        <v/>
      </c>
      <c r="AB30" s="207"/>
      <c r="AC30" s="208" t="str">
        <f t="shared" si="5"/>
        <v/>
      </c>
      <c r="AD30" s="207"/>
      <c r="AE30" s="208" t="str">
        <f t="shared" si="6"/>
        <v/>
      </c>
      <c r="AF30" s="270" t="str">
        <f t="shared" si="7"/>
        <v/>
      </c>
      <c r="AG30" s="270" t="str">
        <f t="shared" si="8"/>
        <v/>
      </c>
      <c r="AH30" s="209"/>
      <c r="AI30" s="210" t="str">
        <f t="shared" si="9"/>
        <v>Débil</v>
      </c>
      <c r="AJ30" s="211" t="str">
        <f>IFERROR(VLOOKUP((CONCATENATE(AG30,AI30)),Listados!$U$3:$V$11,2,FALSE),"")</f>
        <v/>
      </c>
      <c r="AK30" s="270">
        <f t="shared" si="10"/>
        <v>100</v>
      </c>
      <c r="AL30" s="448"/>
      <c r="AM30" s="449"/>
      <c r="AN30" s="269">
        <f>+IF(AND(Q30="Preventivo",AM25="Fuerte"),2,IF(AND(Q30="Preventivo",AM25="Moderado"),1,0))</f>
        <v>0</v>
      </c>
      <c r="AO30" s="269">
        <f>+IF(AND(Q30="Detectivo",$AM25="Fuerte"),2,IF(AND(Q30="Detectivo",$AM25="Moderado"),1,IF(AND(Q30="Preventivo",$AM25="Fuerte"),1,0)))</f>
        <v>0</v>
      </c>
      <c r="AP30" s="212">
        <f>+K25-AN30</f>
        <v>1</v>
      </c>
      <c r="AQ30" s="212">
        <f>+M25-AO30</f>
        <v>5</v>
      </c>
      <c r="AR30" s="434"/>
      <c r="AS30" s="434"/>
      <c r="AT30" s="434"/>
      <c r="AU30" s="434"/>
      <c r="AV30" s="201"/>
      <c r="AW30" s="201"/>
      <c r="AX30" s="201"/>
      <c r="AY30" s="201"/>
      <c r="AZ30" s="201"/>
      <c r="BA30" s="201"/>
      <c r="BB30" s="364"/>
      <c r="BC30" s="284"/>
      <c r="BD30" s="282"/>
      <c r="BE30" s="558"/>
      <c r="BF30" s="550"/>
      <c r="BG30" s="550"/>
    </row>
    <row r="31" spans="1:59" ht="409.5">
      <c r="A31" s="436">
        <v>5</v>
      </c>
      <c r="B31" s="439" t="s">
        <v>89</v>
      </c>
      <c r="C31" s="500" t="str">
        <f>IFERROR(VLOOKUP(B31,Listados!B$3:C$20,2,FALSE),"")</f>
        <v>Optimizar la operación de los procesos del MJD, mediante la gestión efectiva de los recursos tecnológicos, con el fin de brindar una adecuada disponibilidad de los servicios informáticos que soportan la operación del Ministerio, aplicando las iniciativas estratégicas definidas en las arquitecturas de la organización de TI, información, aplicaciones y tecnológicas. </v>
      </c>
      <c r="D31" s="502" t="s">
        <v>1285</v>
      </c>
      <c r="E31" s="149" t="s">
        <v>62</v>
      </c>
      <c r="F31" s="226" t="s">
        <v>189</v>
      </c>
      <c r="G31" s="137" t="s">
        <v>196</v>
      </c>
      <c r="H31" s="137" t="s">
        <v>16</v>
      </c>
      <c r="I31" s="137" t="s">
        <v>197</v>
      </c>
      <c r="J31" s="495" t="s">
        <v>21</v>
      </c>
      <c r="K31" s="466">
        <f>+VLOOKUP(J31,Listados!$K$8:$L$12,2,0)</f>
        <v>1</v>
      </c>
      <c r="L31" s="477" t="s">
        <v>54</v>
      </c>
      <c r="M31" s="466">
        <f>+VLOOKUP(L31,Listados!$K$13:$L$17,2,0)</f>
        <v>4</v>
      </c>
      <c r="N31" s="434" t="str">
        <f>IF(AND(J31&lt;&gt;"",L31&lt;&gt;""),VLOOKUP(J31&amp;L31,Listados!$M$3:$N$27,2,FALSE),"")</f>
        <v>Alto</v>
      </c>
      <c r="O31" s="148" t="s">
        <v>198</v>
      </c>
      <c r="P31" s="146" t="s">
        <v>196</v>
      </c>
      <c r="Q31" s="137" t="s">
        <v>20</v>
      </c>
      <c r="R31" s="207" t="s">
        <v>116</v>
      </c>
      <c r="S31" s="208">
        <f t="shared" si="0"/>
        <v>15</v>
      </c>
      <c r="T31" s="207" t="s">
        <v>257</v>
      </c>
      <c r="U31" s="208">
        <f t="shared" si="1"/>
        <v>15</v>
      </c>
      <c r="V31" s="207" t="s">
        <v>257</v>
      </c>
      <c r="W31" s="208">
        <f t="shared" si="2"/>
        <v>15</v>
      </c>
      <c r="X31" s="207" t="s">
        <v>20</v>
      </c>
      <c r="Y31" s="208">
        <f t="shared" si="3"/>
        <v>15</v>
      </c>
      <c r="Z31" s="207" t="s">
        <v>257</v>
      </c>
      <c r="AA31" s="208">
        <f t="shared" si="4"/>
        <v>15</v>
      </c>
      <c r="AB31" s="207" t="s">
        <v>257</v>
      </c>
      <c r="AC31" s="208">
        <f t="shared" si="5"/>
        <v>15</v>
      </c>
      <c r="AD31" s="207" t="s">
        <v>117</v>
      </c>
      <c r="AE31" s="208">
        <f t="shared" si="6"/>
        <v>10</v>
      </c>
      <c r="AF31" s="270">
        <f t="shared" si="7"/>
        <v>100</v>
      </c>
      <c r="AG31" s="270" t="str">
        <f t="shared" si="8"/>
        <v>Fuerte</v>
      </c>
      <c r="AH31" s="209" t="s">
        <v>118</v>
      </c>
      <c r="AI31" s="210" t="str">
        <f t="shared" si="9"/>
        <v>Fuerte</v>
      </c>
      <c r="AJ31" s="211" t="str">
        <f>IFERROR(VLOOKUP((CONCATENATE(AG31,AI31)),Listados!$U$3:$V$11,2,FALSE),"")</f>
        <v>Fuerte</v>
      </c>
      <c r="AK31" s="270">
        <f t="shared" si="10"/>
        <v>100</v>
      </c>
      <c r="AL31" s="446">
        <f>AVERAGE(AK31:AK36)</f>
        <v>100</v>
      </c>
      <c r="AM31" s="448" t="str">
        <f>IF(AL31&lt;=50, "Débil", IF(AL31&lt;=99,"Moderado","Fuerte"))</f>
        <v>Fuerte</v>
      </c>
      <c r="AN31" s="269">
        <f>+IF(AND(Q31="Preventivo",AM31="Fuerte"),2,IF(AND(Q31="Preventivo",AM31="Moderado"),1,0))</f>
        <v>2</v>
      </c>
      <c r="AO31" s="269">
        <f>+IF(AND(Q31="Detectivo",$AM31="Fuerte"),2,IF(AND(Q31="Detectivo",$AM31="Moderado"),1,IF(AND(Q31="Preventivo",$AM31="Fuerte"),1,0)))</f>
        <v>1</v>
      </c>
      <c r="AP31" s="212">
        <f>+K31-AN31</f>
        <v>-1</v>
      </c>
      <c r="AQ31" s="212">
        <f>+M31-AO31</f>
        <v>3</v>
      </c>
      <c r="AR31" s="435" t="str">
        <f>+VLOOKUP(MIN(AP31,AP32,AP33,AP34,AP35,AP36),Listados!$J$18:$K$24,2,TRUE)</f>
        <v>Rara Vez</v>
      </c>
      <c r="AS31" s="435" t="str">
        <f>+VLOOKUP(MIN(AQ31,AQ32,AQ33,AQ34,AQ35,AQ36),Listados!$J$26:$K$32,2,TRUE)</f>
        <v>Moderado</v>
      </c>
      <c r="AT31" s="435" t="str">
        <f>IF(AND(AR31&lt;&gt;"",AS31&lt;&gt;""),VLOOKUP(AR31&amp;AS31,Listados!$M$3:$N$27,2,FALSE),"")</f>
        <v>Moderado</v>
      </c>
      <c r="AU31" s="435" t="str">
        <f>+VLOOKUP(AT31,Listados!$P$3:$Q$6,2,FALSE)</f>
        <v xml:space="preserve"> Reducir el riesgo</v>
      </c>
      <c r="AV31" s="199" t="s">
        <v>1173</v>
      </c>
      <c r="AW31" s="198" t="s">
        <v>1157</v>
      </c>
      <c r="AX31" s="198" t="s">
        <v>1046</v>
      </c>
      <c r="AY31" s="198" t="s">
        <v>1046</v>
      </c>
      <c r="AZ31" s="199" t="s">
        <v>1174</v>
      </c>
      <c r="BA31" s="198" t="s">
        <v>1175</v>
      </c>
      <c r="BB31" s="356" t="s">
        <v>1396</v>
      </c>
      <c r="BC31" s="238" t="s">
        <v>1649</v>
      </c>
      <c r="BD31" s="238"/>
      <c r="BE31" s="556" t="s">
        <v>1509</v>
      </c>
      <c r="BF31" s="559" t="s">
        <v>1800</v>
      </c>
      <c r="BG31" s="559"/>
    </row>
    <row r="32" spans="1:59" ht="246.5">
      <c r="A32" s="437"/>
      <c r="B32" s="439"/>
      <c r="C32" s="500"/>
      <c r="D32" s="502"/>
      <c r="E32" s="149"/>
      <c r="F32" s="149"/>
      <c r="G32" s="137" t="s">
        <v>199</v>
      </c>
      <c r="H32" s="137" t="s">
        <v>16</v>
      </c>
      <c r="I32" s="137" t="s">
        <v>200</v>
      </c>
      <c r="J32" s="495"/>
      <c r="K32" s="467"/>
      <c r="L32" s="478"/>
      <c r="M32" s="467"/>
      <c r="N32" s="470"/>
      <c r="O32" s="148" t="s">
        <v>201</v>
      </c>
      <c r="P32" s="146" t="s">
        <v>199</v>
      </c>
      <c r="Q32" s="137" t="s">
        <v>20</v>
      </c>
      <c r="R32" s="207" t="s">
        <v>116</v>
      </c>
      <c r="S32" s="208">
        <f t="shared" ref="S32:S34" si="17">+IF(R32="si",15,"")</f>
        <v>15</v>
      </c>
      <c r="T32" s="207" t="s">
        <v>257</v>
      </c>
      <c r="U32" s="208">
        <f t="shared" ref="U32:U34" si="18">+IF(T32="si",15,"")</f>
        <v>15</v>
      </c>
      <c r="V32" s="207" t="s">
        <v>257</v>
      </c>
      <c r="W32" s="208">
        <f t="shared" ref="W32:W34" si="19">+IF(V32="si",15,"")</f>
        <v>15</v>
      </c>
      <c r="X32" s="207" t="s">
        <v>20</v>
      </c>
      <c r="Y32" s="208">
        <f t="shared" ref="Y32:Y34" si="20">+IF(X32="Preventivo",15,IF(X32="Detectivo",10,""))</f>
        <v>15</v>
      </c>
      <c r="Z32" s="207" t="s">
        <v>257</v>
      </c>
      <c r="AA32" s="208">
        <f t="shared" ref="AA32:AA34" si="21">+IF(Z32="si",15,"")</f>
        <v>15</v>
      </c>
      <c r="AB32" s="207" t="s">
        <v>257</v>
      </c>
      <c r="AC32" s="208">
        <f t="shared" ref="AC32:AC34" si="22">+IF(AB32="si",15,"")</f>
        <v>15</v>
      </c>
      <c r="AD32" s="207" t="s">
        <v>117</v>
      </c>
      <c r="AE32" s="208">
        <f t="shared" si="6"/>
        <v>10</v>
      </c>
      <c r="AF32" s="270">
        <f t="shared" si="7"/>
        <v>100</v>
      </c>
      <c r="AG32" s="270" t="str">
        <f t="shared" si="8"/>
        <v>Fuerte</v>
      </c>
      <c r="AH32" s="209" t="s">
        <v>118</v>
      </c>
      <c r="AI32" s="210" t="str">
        <f t="shared" si="9"/>
        <v>Fuerte</v>
      </c>
      <c r="AJ32" s="211" t="str">
        <f>IFERROR(VLOOKUP((CONCATENATE(AG32,AI32)),Listados!$U$3:$V$11,2,FALSE),"")</f>
        <v>Fuerte</v>
      </c>
      <c r="AK32" s="270">
        <f t="shared" si="10"/>
        <v>100</v>
      </c>
      <c r="AL32" s="447"/>
      <c r="AM32" s="449"/>
      <c r="AN32" s="269">
        <f>+IF(AND(Q32="Preventivo",AM31="Fuerte"),2,IF(AND(Q32="Preventivo",AM31="Moderado"),1,0))</f>
        <v>2</v>
      </c>
      <c r="AO32" s="269">
        <f>+IF(AND(Q32="Detectivo",$AM31="Fuerte"),2,IF(AND(Q32="Detectivo",$AM31="Moderado"),1,IF(AND(Q32="Preventivo",$AM31="Fuerte"),1,0)))</f>
        <v>1</v>
      </c>
      <c r="AP32" s="212">
        <f>+K31-AN32</f>
        <v>-1</v>
      </c>
      <c r="AQ32" s="212">
        <f>+M31-AO32</f>
        <v>3</v>
      </c>
      <c r="AR32" s="433"/>
      <c r="AS32" s="433"/>
      <c r="AT32" s="433"/>
      <c r="AU32" s="433"/>
      <c r="AV32" s="199" t="s">
        <v>1156</v>
      </c>
      <c r="AW32" s="198" t="s">
        <v>1157</v>
      </c>
      <c r="AX32" s="198" t="s">
        <v>1046</v>
      </c>
      <c r="AY32" s="198" t="s">
        <v>1046</v>
      </c>
      <c r="AZ32" s="199" t="s">
        <v>1176</v>
      </c>
      <c r="BA32" s="199" t="s">
        <v>1177</v>
      </c>
      <c r="BB32" s="356" t="s">
        <v>1397</v>
      </c>
      <c r="BC32" s="238" t="s">
        <v>1650</v>
      </c>
      <c r="BD32" s="238"/>
      <c r="BE32" s="557"/>
      <c r="BF32" s="549"/>
      <c r="BG32" s="549"/>
    </row>
    <row r="33" spans="1:59" ht="246.5">
      <c r="A33" s="437"/>
      <c r="B33" s="439"/>
      <c r="C33" s="500"/>
      <c r="D33" s="502"/>
      <c r="E33" s="149"/>
      <c r="F33" s="149"/>
      <c r="G33" s="137" t="s">
        <v>202</v>
      </c>
      <c r="H33" s="137" t="s">
        <v>16</v>
      </c>
      <c r="I33" s="137" t="s">
        <v>200</v>
      </c>
      <c r="J33" s="495"/>
      <c r="K33" s="467"/>
      <c r="L33" s="478"/>
      <c r="M33" s="467"/>
      <c r="N33" s="470"/>
      <c r="O33" s="148" t="s">
        <v>201</v>
      </c>
      <c r="P33" s="146" t="s">
        <v>202</v>
      </c>
      <c r="Q33" s="137" t="s">
        <v>20</v>
      </c>
      <c r="R33" s="207" t="s">
        <v>116</v>
      </c>
      <c r="S33" s="208">
        <f t="shared" si="17"/>
        <v>15</v>
      </c>
      <c r="T33" s="207" t="s">
        <v>257</v>
      </c>
      <c r="U33" s="208">
        <f t="shared" si="18"/>
        <v>15</v>
      </c>
      <c r="V33" s="207" t="s">
        <v>257</v>
      </c>
      <c r="W33" s="208">
        <f t="shared" si="19"/>
        <v>15</v>
      </c>
      <c r="X33" s="207" t="s">
        <v>20</v>
      </c>
      <c r="Y33" s="208">
        <f t="shared" si="20"/>
        <v>15</v>
      </c>
      <c r="Z33" s="207" t="s">
        <v>257</v>
      </c>
      <c r="AA33" s="208">
        <f t="shared" si="21"/>
        <v>15</v>
      </c>
      <c r="AB33" s="207" t="s">
        <v>257</v>
      </c>
      <c r="AC33" s="208">
        <f t="shared" si="22"/>
        <v>15</v>
      </c>
      <c r="AD33" s="207" t="s">
        <v>117</v>
      </c>
      <c r="AE33" s="208">
        <f t="shared" si="6"/>
        <v>10</v>
      </c>
      <c r="AF33" s="270">
        <f t="shared" si="7"/>
        <v>100</v>
      </c>
      <c r="AG33" s="270" t="str">
        <f t="shared" si="8"/>
        <v>Fuerte</v>
      </c>
      <c r="AH33" s="209" t="s">
        <v>118</v>
      </c>
      <c r="AI33" s="210" t="str">
        <f t="shared" si="9"/>
        <v>Fuerte</v>
      </c>
      <c r="AJ33" s="211" t="str">
        <f>IFERROR(VLOOKUP((CONCATENATE(AG33,AI33)),Listados!$U$3:$V$11,2,FALSE),"")</f>
        <v>Fuerte</v>
      </c>
      <c r="AK33" s="270">
        <f t="shared" si="10"/>
        <v>100</v>
      </c>
      <c r="AL33" s="447"/>
      <c r="AM33" s="449"/>
      <c r="AN33" s="269">
        <f>+IF(AND(Q33="Preventivo",AM31="Fuerte"),2,IF(AND(Q33="Preventivo",AM31="Moderado"),1,0))</f>
        <v>2</v>
      </c>
      <c r="AO33" s="269">
        <f>+IF(AND(Q33="Detectivo",$AM31="Fuerte"),2,IF(AND(Q33="Detectivo",$AM31="Moderado"),1,IF(AND(Q33="Preventivo",$AM31="Fuerte"),1,0)))</f>
        <v>1</v>
      </c>
      <c r="AP33" s="212">
        <f>+K31-AN33</f>
        <v>-1</v>
      </c>
      <c r="AQ33" s="212">
        <f>+M31-AO33</f>
        <v>3</v>
      </c>
      <c r="AR33" s="433"/>
      <c r="AS33" s="433"/>
      <c r="AT33" s="433"/>
      <c r="AU33" s="433"/>
      <c r="AV33" s="199" t="s">
        <v>1178</v>
      </c>
      <c r="AW33" s="198" t="s">
        <v>1157</v>
      </c>
      <c r="AX33" s="198" t="s">
        <v>1046</v>
      </c>
      <c r="AY33" s="198" t="s">
        <v>1046</v>
      </c>
      <c r="AZ33" s="199" t="s">
        <v>1158</v>
      </c>
      <c r="BA33" s="199" t="s">
        <v>1159</v>
      </c>
      <c r="BB33" s="357" t="s">
        <v>1397</v>
      </c>
      <c r="BC33" s="238" t="s">
        <v>1650</v>
      </c>
      <c r="BD33" s="238"/>
      <c r="BE33" s="557"/>
      <c r="BF33" s="549"/>
      <c r="BG33" s="549"/>
    </row>
    <row r="34" spans="1:59" ht="217.5">
      <c r="A34" s="437"/>
      <c r="B34" s="439"/>
      <c r="C34" s="500"/>
      <c r="D34" s="502"/>
      <c r="E34" s="149"/>
      <c r="F34" s="149"/>
      <c r="G34" s="137" t="s">
        <v>203</v>
      </c>
      <c r="H34" s="137" t="s">
        <v>30</v>
      </c>
      <c r="I34" s="137" t="s">
        <v>204</v>
      </c>
      <c r="J34" s="495"/>
      <c r="K34" s="467"/>
      <c r="L34" s="478"/>
      <c r="M34" s="467"/>
      <c r="N34" s="470"/>
      <c r="O34" s="148" t="s">
        <v>205</v>
      </c>
      <c r="P34" s="146" t="s">
        <v>203</v>
      </c>
      <c r="Q34" s="137" t="s">
        <v>20</v>
      </c>
      <c r="R34" s="207" t="s">
        <v>116</v>
      </c>
      <c r="S34" s="208">
        <f t="shared" si="17"/>
        <v>15</v>
      </c>
      <c r="T34" s="207" t="s">
        <v>257</v>
      </c>
      <c r="U34" s="208">
        <f t="shared" si="18"/>
        <v>15</v>
      </c>
      <c r="V34" s="207" t="s">
        <v>257</v>
      </c>
      <c r="W34" s="208">
        <f t="shared" si="19"/>
        <v>15</v>
      </c>
      <c r="X34" s="207" t="s">
        <v>20</v>
      </c>
      <c r="Y34" s="208">
        <f t="shared" si="20"/>
        <v>15</v>
      </c>
      <c r="Z34" s="207" t="s">
        <v>257</v>
      </c>
      <c r="AA34" s="208">
        <f t="shared" si="21"/>
        <v>15</v>
      </c>
      <c r="AB34" s="207" t="s">
        <v>257</v>
      </c>
      <c r="AC34" s="208">
        <f t="shared" si="22"/>
        <v>15</v>
      </c>
      <c r="AD34" s="207" t="s">
        <v>117</v>
      </c>
      <c r="AE34" s="208">
        <f t="shared" si="6"/>
        <v>10</v>
      </c>
      <c r="AF34" s="270">
        <f t="shared" si="7"/>
        <v>100</v>
      </c>
      <c r="AG34" s="270" t="str">
        <f t="shared" si="8"/>
        <v>Fuerte</v>
      </c>
      <c r="AH34" s="209" t="s">
        <v>118</v>
      </c>
      <c r="AI34" s="210" t="str">
        <f t="shared" si="9"/>
        <v>Fuerte</v>
      </c>
      <c r="AJ34" s="211" t="str">
        <f>IFERROR(VLOOKUP((CONCATENATE(AG34,AI34)),Listados!$U$3:$V$11,2,FALSE),"")</f>
        <v>Fuerte</v>
      </c>
      <c r="AK34" s="270">
        <f t="shared" si="10"/>
        <v>100</v>
      </c>
      <c r="AL34" s="447"/>
      <c r="AM34" s="449"/>
      <c r="AN34" s="269">
        <f>+IF(AND(Q34="Preventivo",AM31="Fuerte"),2,IF(AND(Q34="Preventivo",AM31="Moderado"),1,0))</f>
        <v>2</v>
      </c>
      <c r="AO34" s="269">
        <f>+IF(AND(Q34="Detectivo",$AM31="Fuerte"),2,IF(AND(Q34="Detectivo",$AM31="Moderado"),1,IF(AND(Q34="Preventivo",$AM31="Fuerte"),1,0)))</f>
        <v>1</v>
      </c>
      <c r="AP34" s="212">
        <f>+K31-AN34</f>
        <v>-1</v>
      </c>
      <c r="AQ34" s="212">
        <f>+M31-AO34</f>
        <v>3</v>
      </c>
      <c r="AR34" s="433"/>
      <c r="AS34" s="433"/>
      <c r="AT34" s="433"/>
      <c r="AU34" s="433"/>
      <c r="AV34" s="199" t="s">
        <v>1160</v>
      </c>
      <c r="AW34" s="198" t="s">
        <v>1157</v>
      </c>
      <c r="AX34" s="198" t="s">
        <v>1046</v>
      </c>
      <c r="AY34" s="198" t="s">
        <v>1046</v>
      </c>
      <c r="AZ34" s="199" t="s">
        <v>1161</v>
      </c>
      <c r="BA34" s="355" t="s">
        <v>1159</v>
      </c>
      <c r="BB34" s="358" t="s">
        <v>1398</v>
      </c>
      <c r="BC34" s="238" t="s">
        <v>1651</v>
      </c>
      <c r="BD34" s="238"/>
      <c r="BE34" s="557"/>
      <c r="BF34" s="549"/>
      <c r="BG34" s="549"/>
    </row>
    <row r="35" spans="1:59">
      <c r="A35" s="437"/>
      <c r="B35" s="439"/>
      <c r="C35" s="500"/>
      <c r="D35" s="502"/>
      <c r="E35" s="149"/>
      <c r="F35" s="149"/>
      <c r="G35" s="137"/>
      <c r="H35" s="137"/>
      <c r="I35" s="137"/>
      <c r="J35" s="495"/>
      <c r="K35" s="467"/>
      <c r="L35" s="478"/>
      <c r="M35" s="467"/>
      <c r="N35" s="470"/>
      <c r="O35" s="213"/>
      <c r="P35" s="215"/>
      <c r="Q35" s="285"/>
      <c r="R35" s="231"/>
      <c r="S35" s="208" t="str">
        <f t="shared" si="0"/>
        <v/>
      </c>
      <c r="T35" s="231"/>
      <c r="U35" s="208" t="str">
        <f t="shared" si="1"/>
        <v/>
      </c>
      <c r="V35" s="207"/>
      <c r="W35" s="208" t="str">
        <f t="shared" si="2"/>
        <v/>
      </c>
      <c r="X35" s="207"/>
      <c r="Y35" s="208" t="str">
        <f t="shared" si="3"/>
        <v/>
      </c>
      <c r="Z35" s="207"/>
      <c r="AA35" s="208" t="str">
        <f t="shared" si="4"/>
        <v/>
      </c>
      <c r="AB35" s="207"/>
      <c r="AC35" s="208" t="str">
        <f t="shared" si="5"/>
        <v/>
      </c>
      <c r="AD35" s="207"/>
      <c r="AE35" s="208" t="str">
        <f t="shared" si="6"/>
        <v/>
      </c>
      <c r="AF35" s="270" t="str">
        <f t="shared" si="7"/>
        <v/>
      </c>
      <c r="AG35" s="270" t="str">
        <f t="shared" si="8"/>
        <v/>
      </c>
      <c r="AH35" s="209"/>
      <c r="AI35" s="210" t="str">
        <f t="shared" si="9"/>
        <v>Débil</v>
      </c>
      <c r="AJ35" s="211" t="str">
        <f>IFERROR(VLOOKUP((CONCATENATE(AG35,AI35)),Listados!$U$3:$V$11,2,FALSE),"")</f>
        <v/>
      </c>
      <c r="AK35" s="270">
        <f t="shared" si="10"/>
        <v>100</v>
      </c>
      <c r="AL35" s="447"/>
      <c r="AM35" s="449"/>
      <c r="AN35" s="269">
        <f>+IF(AND(Q35="Preventivo",AM31="Fuerte"),2,IF(AND(Q35="Preventivo",AM31="Moderado"),1,0))</f>
        <v>0</v>
      </c>
      <c r="AO35" s="269">
        <f>+IF(AND(Q35="Detectivo",$AM31="Fuerte"),2,IF(AND(Q35="Detectivo",$AM31="Moderado"),1,IF(AND(Q35="Preventivo",$AM31="Fuerte"),1,0)))</f>
        <v>0</v>
      </c>
      <c r="AP35" s="212">
        <f>+K31-AN35</f>
        <v>1</v>
      </c>
      <c r="AQ35" s="212">
        <f>+M31-AO35</f>
        <v>4</v>
      </c>
      <c r="AR35" s="433"/>
      <c r="AS35" s="433"/>
      <c r="AT35" s="433"/>
      <c r="AU35" s="433"/>
      <c r="AV35" s="201"/>
      <c r="AW35" s="201"/>
      <c r="AX35" s="201"/>
      <c r="AY35" s="201"/>
      <c r="AZ35" s="201"/>
      <c r="BA35" s="201"/>
      <c r="BB35" s="354"/>
      <c r="BC35" s="286"/>
      <c r="BD35" s="282"/>
      <c r="BE35" s="557"/>
      <c r="BF35" s="549"/>
      <c r="BG35" s="549"/>
    </row>
    <row r="36" spans="1:59" ht="14.5" thickBot="1">
      <c r="A36" s="438"/>
      <c r="B36" s="439"/>
      <c r="C36" s="500"/>
      <c r="D36" s="502"/>
      <c r="E36" s="149"/>
      <c r="F36" s="149"/>
      <c r="G36" s="137"/>
      <c r="H36" s="137"/>
      <c r="I36" s="137"/>
      <c r="J36" s="495"/>
      <c r="K36" s="468"/>
      <c r="L36" s="478"/>
      <c r="M36" s="468"/>
      <c r="N36" s="470"/>
      <c r="O36" s="214"/>
      <c r="P36" s="287"/>
      <c r="Q36" s="287"/>
      <c r="R36" s="231"/>
      <c r="S36" s="208" t="str">
        <f t="shared" si="0"/>
        <v/>
      </c>
      <c r="T36" s="231"/>
      <c r="U36" s="208" t="str">
        <f t="shared" si="1"/>
        <v/>
      </c>
      <c r="V36" s="207"/>
      <c r="W36" s="208" t="str">
        <f t="shared" si="2"/>
        <v/>
      </c>
      <c r="X36" s="207"/>
      <c r="Y36" s="208" t="str">
        <f t="shared" si="3"/>
        <v/>
      </c>
      <c r="Z36" s="207"/>
      <c r="AA36" s="208" t="str">
        <f t="shared" si="4"/>
        <v/>
      </c>
      <c r="AB36" s="207"/>
      <c r="AC36" s="208" t="str">
        <f t="shared" si="5"/>
        <v/>
      </c>
      <c r="AD36" s="207"/>
      <c r="AE36" s="208" t="str">
        <f t="shared" si="6"/>
        <v/>
      </c>
      <c r="AF36" s="270" t="str">
        <f t="shared" si="7"/>
        <v/>
      </c>
      <c r="AG36" s="270" t="str">
        <f t="shared" si="8"/>
        <v/>
      </c>
      <c r="AH36" s="209"/>
      <c r="AI36" s="210" t="str">
        <f t="shared" si="9"/>
        <v>Débil</v>
      </c>
      <c r="AJ36" s="211" t="str">
        <f>IFERROR(VLOOKUP((CONCATENATE(AG36,AI36)),Listados!$U$3:$V$11,2,FALSE),"")</f>
        <v/>
      </c>
      <c r="AK36" s="270">
        <f t="shared" si="10"/>
        <v>100</v>
      </c>
      <c r="AL36" s="448"/>
      <c r="AM36" s="449"/>
      <c r="AN36" s="269">
        <f>+IF(AND(Q36="Preventivo",AM31="Fuerte"),2,IF(AND(Q36="Preventivo",AM31="Moderado"),1,0))</f>
        <v>0</v>
      </c>
      <c r="AO36" s="269">
        <f>+IF(AND(Q36="Detectivo",$AM31="Fuerte"),2,IF(AND(Q36="Detectivo",$AM31="Moderado"),1,IF(AND(Q36="Preventivo",$AM31="Fuerte"),1,0)))</f>
        <v>0</v>
      </c>
      <c r="AP36" s="212">
        <f>+K31-AN36</f>
        <v>1</v>
      </c>
      <c r="AQ36" s="212">
        <f>+M31-AO36</f>
        <v>4</v>
      </c>
      <c r="AR36" s="434"/>
      <c r="AS36" s="434"/>
      <c r="AT36" s="434"/>
      <c r="AU36" s="434"/>
      <c r="AV36" s="201"/>
      <c r="AW36" s="201"/>
      <c r="AX36" s="201"/>
      <c r="AY36" s="201"/>
      <c r="AZ36" s="201"/>
      <c r="BA36" s="201"/>
      <c r="BB36" s="354"/>
      <c r="BC36" s="284"/>
      <c r="BD36" s="282"/>
      <c r="BE36" s="558"/>
      <c r="BF36" s="550"/>
      <c r="BG36" s="550"/>
    </row>
    <row r="37" spans="1:59" ht="246.5">
      <c r="A37" s="436">
        <v>6</v>
      </c>
      <c r="B37" s="439" t="s">
        <v>89</v>
      </c>
      <c r="C37" s="500" t="str">
        <f>IFERROR(VLOOKUP(B37,Listados!B$3:C$20,2,FALSE),"")</f>
        <v>Optimizar la operación de los procesos del MJD, mediante la gestión efectiva de los recursos tecnológicos, con el fin de brindar una adecuada disponibilidad de los servicios informáticos que soportan la operación del Ministerio, aplicando las iniciativas estratégicas definidas en las arquitecturas de la organización de TI, información, aplicaciones y tecnológicas. </v>
      </c>
      <c r="D37" s="502" t="s">
        <v>1286</v>
      </c>
      <c r="E37" s="149" t="s">
        <v>62</v>
      </c>
      <c r="F37" s="226" t="s">
        <v>189</v>
      </c>
      <c r="G37" s="137" t="s">
        <v>206</v>
      </c>
      <c r="H37" s="137" t="s">
        <v>16</v>
      </c>
      <c r="I37" s="137" t="s">
        <v>204</v>
      </c>
      <c r="J37" s="495" t="s">
        <v>21</v>
      </c>
      <c r="K37" s="466">
        <f>+VLOOKUP(J37,Listados!$K$8:$L$12,2,0)</f>
        <v>1</v>
      </c>
      <c r="L37" s="477" t="s">
        <v>54</v>
      </c>
      <c r="M37" s="466">
        <f>+VLOOKUP(L37,Listados!$K$13:$L$17,2,0)</f>
        <v>4</v>
      </c>
      <c r="N37" s="496" t="str">
        <f>IF(AND(J37&lt;&gt;"",L37&lt;&gt;""),VLOOKUP(J37&amp;L37,Listados!$M$3:$N$27,2,FALSE),"")</f>
        <v>Alto</v>
      </c>
      <c r="O37" s="359" t="s">
        <v>1399</v>
      </c>
      <c r="P37" s="339" t="s">
        <v>206</v>
      </c>
      <c r="Q37" s="137" t="s">
        <v>20</v>
      </c>
      <c r="R37" s="207" t="s">
        <v>116</v>
      </c>
      <c r="S37" s="208">
        <f t="shared" ref="S37:S41" si="23">+IF(R37="si",15,"")</f>
        <v>15</v>
      </c>
      <c r="T37" s="207" t="s">
        <v>257</v>
      </c>
      <c r="U37" s="208">
        <f t="shared" ref="U37:U41" si="24">+IF(T37="si",15,"")</f>
        <v>15</v>
      </c>
      <c r="V37" s="207" t="s">
        <v>257</v>
      </c>
      <c r="W37" s="208">
        <f t="shared" ref="W37:W41" si="25">+IF(V37="si",15,"")</f>
        <v>15</v>
      </c>
      <c r="X37" s="207" t="s">
        <v>20</v>
      </c>
      <c r="Y37" s="208">
        <f t="shared" ref="Y37:Y41" si="26">+IF(X37="Preventivo",15,IF(X37="Detectivo",10,""))</f>
        <v>15</v>
      </c>
      <c r="Z37" s="207" t="s">
        <v>257</v>
      </c>
      <c r="AA37" s="208">
        <f t="shared" ref="AA37:AA41" si="27">+IF(Z37="si",15,"")</f>
        <v>15</v>
      </c>
      <c r="AB37" s="207" t="s">
        <v>257</v>
      </c>
      <c r="AC37" s="208">
        <f t="shared" ref="AC37:AC41" si="28">+IF(AB37="si",15,"")</f>
        <v>15</v>
      </c>
      <c r="AD37" s="207" t="s">
        <v>117</v>
      </c>
      <c r="AE37" s="208">
        <f t="shared" si="6"/>
        <v>10</v>
      </c>
      <c r="AF37" s="270">
        <f t="shared" si="7"/>
        <v>100</v>
      </c>
      <c r="AG37" s="270" t="str">
        <f t="shared" si="8"/>
        <v>Fuerte</v>
      </c>
      <c r="AH37" s="209" t="s">
        <v>118</v>
      </c>
      <c r="AI37" s="210" t="str">
        <f t="shared" si="9"/>
        <v>Fuerte</v>
      </c>
      <c r="AJ37" s="211" t="str">
        <f>IFERROR(VLOOKUP((CONCATENATE(AG37,AI37)),Listados!$U$3:$V$11,2,FALSE),"")</f>
        <v>Fuerte</v>
      </c>
      <c r="AK37" s="270">
        <f t="shared" si="10"/>
        <v>100</v>
      </c>
      <c r="AL37" s="446">
        <f>AVERAGE(AK37:AK42)</f>
        <v>100</v>
      </c>
      <c r="AM37" s="448" t="str">
        <f>IF(AL37&lt;=50, "Débil", IF(AL37&lt;=99,"Moderado","Fuerte"))</f>
        <v>Fuerte</v>
      </c>
      <c r="AN37" s="269">
        <f>+IF(AND(Q37="Preventivo",AM37="Fuerte"),2,IF(AND(Q37="Preventivo",AM37="Moderado"),1,0))</f>
        <v>2</v>
      </c>
      <c r="AO37" s="269">
        <f t="shared" ref="AO37:AO71" si="29">+IF(AND(Q37="Detectivo",$AM$7="Fuerte"),2,IF(AND(Q37="Detectivo",$AM$7="Moderado"),1,IF(AND(Q37="Preventivo",$AM$7="Fuerte"),1,0)))</f>
        <v>0</v>
      </c>
      <c r="AP37" s="212">
        <f>+K37-AN37</f>
        <v>-1</v>
      </c>
      <c r="AQ37" s="212">
        <f>+M37-AO37</f>
        <v>4</v>
      </c>
      <c r="AR37" s="435" t="str">
        <f>+VLOOKUP(MIN(AP37,AP38,AP39,AP40,AP41,AP42),Listados!$J$18:$K$24,2,TRUE)</f>
        <v>Rara Vez</v>
      </c>
      <c r="AS37" s="435" t="str">
        <f>+VLOOKUP(MIN(AQ37,AQ38,AQ39,AQ40,AQ41,AQ42),Listados!$J$26:$K$32,2,TRUE)</f>
        <v>Mayor</v>
      </c>
      <c r="AT37" s="435" t="str">
        <f>IF(AND(AR37&lt;&gt;"",AS37&lt;&gt;""),VLOOKUP(AR37&amp;AS37,Listados!$M$3:$N$27,2,FALSE),"")</f>
        <v>Alto</v>
      </c>
      <c r="AU37" s="435" t="str">
        <f>+VLOOKUP(AT37,Listados!$P$3:$Q$6,2,FALSE)</f>
        <v>Reducir el riesgo</v>
      </c>
      <c r="AV37" s="199" t="s">
        <v>1156</v>
      </c>
      <c r="AW37" s="198" t="s">
        <v>1157</v>
      </c>
      <c r="AX37" s="198" t="s">
        <v>1046</v>
      </c>
      <c r="AY37" s="198" t="s">
        <v>1046</v>
      </c>
      <c r="AZ37" s="199" t="s">
        <v>1158</v>
      </c>
      <c r="BA37" s="199" t="s">
        <v>1159</v>
      </c>
      <c r="BB37" s="357" t="s">
        <v>1397</v>
      </c>
      <c r="BC37" s="238" t="s">
        <v>1650</v>
      </c>
      <c r="BD37" s="199"/>
      <c r="BE37" s="556" t="s">
        <v>1510</v>
      </c>
      <c r="BF37" s="559" t="s">
        <v>1801</v>
      </c>
      <c r="BG37" s="559"/>
    </row>
    <row r="38" spans="1:59" ht="203">
      <c r="A38" s="437"/>
      <c r="B38" s="439"/>
      <c r="C38" s="500"/>
      <c r="D38" s="502"/>
      <c r="E38" s="149"/>
      <c r="F38" s="149"/>
      <c r="G38" s="137" t="s">
        <v>203</v>
      </c>
      <c r="H38" s="137" t="s">
        <v>30</v>
      </c>
      <c r="I38" s="137" t="s">
        <v>207</v>
      </c>
      <c r="J38" s="495"/>
      <c r="K38" s="467"/>
      <c r="L38" s="478"/>
      <c r="M38" s="467"/>
      <c r="N38" s="497"/>
      <c r="O38" s="229" t="s">
        <v>208</v>
      </c>
      <c r="P38" s="339" t="s">
        <v>203</v>
      </c>
      <c r="Q38" s="137" t="s">
        <v>20</v>
      </c>
      <c r="R38" s="207" t="s">
        <v>116</v>
      </c>
      <c r="S38" s="208">
        <f t="shared" si="23"/>
        <v>15</v>
      </c>
      <c r="T38" s="207" t="s">
        <v>257</v>
      </c>
      <c r="U38" s="208">
        <f t="shared" si="24"/>
        <v>15</v>
      </c>
      <c r="V38" s="207" t="s">
        <v>257</v>
      </c>
      <c r="W38" s="208">
        <f t="shared" si="25"/>
        <v>15</v>
      </c>
      <c r="X38" s="207" t="s">
        <v>20</v>
      </c>
      <c r="Y38" s="208">
        <f t="shared" si="26"/>
        <v>15</v>
      </c>
      <c r="Z38" s="207" t="s">
        <v>257</v>
      </c>
      <c r="AA38" s="208">
        <f t="shared" si="27"/>
        <v>15</v>
      </c>
      <c r="AB38" s="207" t="s">
        <v>257</v>
      </c>
      <c r="AC38" s="208">
        <f t="shared" si="28"/>
        <v>15</v>
      </c>
      <c r="AD38" s="207" t="s">
        <v>117</v>
      </c>
      <c r="AE38" s="208">
        <f t="shared" si="6"/>
        <v>10</v>
      </c>
      <c r="AF38" s="270">
        <f t="shared" si="7"/>
        <v>100</v>
      </c>
      <c r="AG38" s="270" t="str">
        <f t="shared" si="8"/>
        <v>Fuerte</v>
      </c>
      <c r="AH38" s="209" t="s">
        <v>118</v>
      </c>
      <c r="AI38" s="210" t="str">
        <f t="shared" si="9"/>
        <v>Fuerte</v>
      </c>
      <c r="AJ38" s="211" t="str">
        <f>IFERROR(VLOOKUP((CONCATENATE(AG38,AI38)),Listados!$U$3:$V$11,2,FALSE),"")</f>
        <v>Fuerte</v>
      </c>
      <c r="AK38" s="270">
        <f t="shared" si="10"/>
        <v>100</v>
      </c>
      <c r="AL38" s="447"/>
      <c r="AM38" s="449"/>
      <c r="AN38" s="269">
        <f>+IF(AND(Q38="Preventivo",AM37="Fuerte"),2,IF(AND(Q38="Preventivo",AM37="Moderado"),1,0))</f>
        <v>2</v>
      </c>
      <c r="AO38" s="269">
        <f t="shared" si="29"/>
        <v>0</v>
      </c>
      <c r="AP38" s="212">
        <f>+K37-AN38</f>
        <v>-1</v>
      </c>
      <c r="AQ38" s="212">
        <f>+M37-AO38</f>
        <v>4</v>
      </c>
      <c r="AR38" s="433"/>
      <c r="AS38" s="433"/>
      <c r="AT38" s="433"/>
      <c r="AU38" s="433"/>
      <c r="AV38" s="199" t="s">
        <v>1160</v>
      </c>
      <c r="AW38" s="198" t="s">
        <v>1157</v>
      </c>
      <c r="AX38" s="198" t="s">
        <v>1046</v>
      </c>
      <c r="AY38" s="198" t="s">
        <v>1046</v>
      </c>
      <c r="AZ38" s="199" t="s">
        <v>1161</v>
      </c>
      <c r="BA38" s="355" t="s">
        <v>1159</v>
      </c>
      <c r="BB38" s="360" t="s">
        <v>1402</v>
      </c>
      <c r="BC38" s="238" t="s">
        <v>1651</v>
      </c>
      <c r="BD38" s="238"/>
      <c r="BE38" s="557"/>
      <c r="BF38" s="549"/>
      <c r="BG38" s="549"/>
    </row>
    <row r="39" spans="1:59" ht="246.5">
      <c r="A39" s="437"/>
      <c r="B39" s="439"/>
      <c r="C39" s="500"/>
      <c r="D39" s="502"/>
      <c r="E39" s="149"/>
      <c r="F39" s="149"/>
      <c r="G39" s="137" t="s">
        <v>209</v>
      </c>
      <c r="H39" s="137" t="s">
        <v>16</v>
      </c>
      <c r="I39" s="137" t="s">
        <v>200</v>
      </c>
      <c r="J39" s="495"/>
      <c r="K39" s="467"/>
      <c r="L39" s="478"/>
      <c r="M39" s="467"/>
      <c r="N39" s="497"/>
      <c r="O39" s="229" t="s">
        <v>210</v>
      </c>
      <c r="P39" s="339" t="s">
        <v>209</v>
      </c>
      <c r="Q39" s="137" t="s">
        <v>20</v>
      </c>
      <c r="R39" s="207" t="s">
        <v>116</v>
      </c>
      <c r="S39" s="208">
        <f t="shared" si="23"/>
        <v>15</v>
      </c>
      <c r="T39" s="207" t="s">
        <v>257</v>
      </c>
      <c r="U39" s="208">
        <f t="shared" si="24"/>
        <v>15</v>
      </c>
      <c r="V39" s="207" t="s">
        <v>257</v>
      </c>
      <c r="W39" s="208">
        <f t="shared" si="25"/>
        <v>15</v>
      </c>
      <c r="X39" s="207" t="s">
        <v>20</v>
      </c>
      <c r="Y39" s="208">
        <f t="shared" si="26"/>
        <v>15</v>
      </c>
      <c r="Z39" s="207" t="s">
        <v>257</v>
      </c>
      <c r="AA39" s="208">
        <f t="shared" si="27"/>
        <v>15</v>
      </c>
      <c r="AB39" s="207" t="s">
        <v>257</v>
      </c>
      <c r="AC39" s="208">
        <f t="shared" si="28"/>
        <v>15</v>
      </c>
      <c r="AD39" s="207" t="s">
        <v>117</v>
      </c>
      <c r="AE39" s="208">
        <f t="shared" si="6"/>
        <v>10</v>
      </c>
      <c r="AF39" s="270">
        <f t="shared" si="7"/>
        <v>100</v>
      </c>
      <c r="AG39" s="270" t="str">
        <f t="shared" si="8"/>
        <v>Fuerte</v>
      </c>
      <c r="AH39" s="209" t="s">
        <v>118</v>
      </c>
      <c r="AI39" s="210" t="str">
        <f t="shared" si="9"/>
        <v>Fuerte</v>
      </c>
      <c r="AJ39" s="211" t="str">
        <f>IFERROR(VLOOKUP((CONCATENATE(AG39,AI39)),Listados!$U$3:$V$11,2,FALSE),"")</f>
        <v>Fuerte</v>
      </c>
      <c r="AK39" s="270">
        <f t="shared" si="10"/>
        <v>100</v>
      </c>
      <c r="AL39" s="447"/>
      <c r="AM39" s="449"/>
      <c r="AN39" s="269">
        <f>+IF(AND(Q39="Preventivo",AM37="Fuerte"),2,IF(AND(Q39="Preventivo",AM37="Moderado"),1,0))</f>
        <v>2</v>
      </c>
      <c r="AO39" s="269">
        <f t="shared" si="29"/>
        <v>0</v>
      </c>
      <c r="AP39" s="212">
        <f>+K37-AN39</f>
        <v>-1</v>
      </c>
      <c r="AQ39" s="212">
        <f>+M37-AO39</f>
        <v>4</v>
      </c>
      <c r="AR39" s="433"/>
      <c r="AS39" s="433"/>
      <c r="AT39" s="433"/>
      <c r="AU39" s="433"/>
      <c r="AV39" s="199" t="s">
        <v>1162</v>
      </c>
      <c r="AW39" s="198" t="s">
        <v>1157</v>
      </c>
      <c r="AX39" s="198" t="s">
        <v>1046</v>
      </c>
      <c r="AY39" s="198" t="s">
        <v>1046</v>
      </c>
      <c r="AZ39" s="199" t="s">
        <v>1161</v>
      </c>
      <c r="BA39" s="199" t="s">
        <v>1159</v>
      </c>
      <c r="BB39" s="361" t="s">
        <v>1397</v>
      </c>
      <c r="BC39" s="238" t="s">
        <v>1650</v>
      </c>
      <c r="BD39" s="238"/>
      <c r="BE39" s="557"/>
      <c r="BF39" s="549"/>
      <c r="BG39" s="549"/>
    </row>
    <row r="40" spans="1:59" ht="203">
      <c r="A40" s="437"/>
      <c r="B40" s="439"/>
      <c r="C40" s="500"/>
      <c r="D40" s="502"/>
      <c r="E40" s="149"/>
      <c r="F40" s="149"/>
      <c r="G40" s="137" t="s">
        <v>211</v>
      </c>
      <c r="H40" s="137" t="s">
        <v>16</v>
      </c>
      <c r="I40" s="137" t="s">
        <v>212</v>
      </c>
      <c r="J40" s="495"/>
      <c r="K40" s="467"/>
      <c r="L40" s="478"/>
      <c r="M40" s="467"/>
      <c r="N40" s="497"/>
      <c r="O40" s="359" t="s">
        <v>1400</v>
      </c>
      <c r="P40" s="339" t="s">
        <v>211</v>
      </c>
      <c r="Q40" s="137" t="s">
        <v>20</v>
      </c>
      <c r="R40" s="207" t="s">
        <v>116</v>
      </c>
      <c r="S40" s="208">
        <f t="shared" si="23"/>
        <v>15</v>
      </c>
      <c r="T40" s="207" t="s">
        <v>257</v>
      </c>
      <c r="U40" s="208">
        <f t="shared" si="24"/>
        <v>15</v>
      </c>
      <c r="V40" s="207" t="s">
        <v>257</v>
      </c>
      <c r="W40" s="208">
        <f t="shared" si="25"/>
        <v>15</v>
      </c>
      <c r="X40" s="207" t="s">
        <v>20</v>
      </c>
      <c r="Y40" s="208">
        <f t="shared" si="26"/>
        <v>15</v>
      </c>
      <c r="Z40" s="207" t="s">
        <v>257</v>
      </c>
      <c r="AA40" s="208">
        <f t="shared" si="27"/>
        <v>15</v>
      </c>
      <c r="AB40" s="207" t="s">
        <v>257</v>
      </c>
      <c r="AC40" s="208">
        <f t="shared" si="28"/>
        <v>15</v>
      </c>
      <c r="AD40" s="207" t="s">
        <v>117</v>
      </c>
      <c r="AE40" s="208">
        <f t="shared" si="6"/>
        <v>10</v>
      </c>
      <c r="AF40" s="270">
        <f t="shared" si="7"/>
        <v>100</v>
      </c>
      <c r="AG40" s="270" t="str">
        <f t="shared" si="8"/>
        <v>Fuerte</v>
      </c>
      <c r="AH40" s="209" t="s">
        <v>118</v>
      </c>
      <c r="AI40" s="210" t="str">
        <f t="shared" si="9"/>
        <v>Fuerte</v>
      </c>
      <c r="AJ40" s="211" t="str">
        <f>IFERROR(VLOOKUP((CONCATENATE(AG40,AI40)),Listados!$U$3:$V$11,2,FALSE),"")</f>
        <v>Fuerte</v>
      </c>
      <c r="AK40" s="270">
        <f t="shared" si="10"/>
        <v>100</v>
      </c>
      <c r="AL40" s="447"/>
      <c r="AM40" s="449"/>
      <c r="AN40" s="269">
        <f>+IF(AND(Q40="Preventivo",AM37="Fuerte"),2,IF(AND(Q40="Preventivo",AM37="Moderado"),1,0))</f>
        <v>2</v>
      </c>
      <c r="AO40" s="269">
        <f t="shared" si="29"/>
        <v>0</v>
      </c>
      <c r="AP40" s="212">
        <f>+K37-AN40</f>
        <v>-1</v>
      </c>
      <c r="AQ40" s="212">
        <f>+M37-AO40</f>
        <v>4</v>
      </c>
      <c r="AR40" s="433"/>
      <c r="AS40" s="433"/>
      <c r="AT40" s="433"/>
      <c r="AU40" s="433"/>
      <c r="AV40" s="199" t="s">
        <v>1163</v>
      </c>
      <c r="AW40" s="198" t="s">
        <v>1157</v>
      </c>
      <c r="AX40" s="198" t="s">
        <v>1046</v>
      </c>
      <c r="AY40" s="198" t="s">
        <v>1046</v>
      </c>
      <c r="AZ40" s="199" t="s">
        <v>1161</v>
      </c>
      <c r="BA40" s="355" t="s">
        <v>1159</v>
      </c>
      <c r="BB40" s="362" t="s">
        <v>1403</v>
      </c>
      <c r="BC40" s="403" t="s">
        <v>1652</v>
      </c>
      <c r="BD40" s="238"/>
      <c r="BE40" s="557"/>
      <c r="BF40" s="549"/>
      <c r="BG40" s="549"/>
    </row>
    <row r="41" spans="1:59" ht="188.5">
      <c r="A41" s="437"/>
      <c r="B41" s="439"/>
      <c r="C41" s="500"/>
      <c r="D41" s="502"/>
      <c r="E41" s="149"/>
      <c r="F41" s="149"/>
      <c r="G41" s="137" t="s">
        <v>202</v>
      </c>
      <c r="H41" s="137" t="s">
        <v>16</v>
      </c>
      <c r="I41" s="137" t="s">
        <v>213</v>
      </c>
      <c r="J41" s="495"/>
      <c r="K41" s="467"/>
      <c r="L41" s="478"/>
      <c r="M41" s="467"/>
      <c r="N41" s="497"/>
      <c r="O41" s="359" t="s">
        <v>1401</v>
      </c>
      <c r="P41" s="339" t="s">
        <v>202</v>
      </c>
      <c r="Q41" s="137" t="s">
        <v>20</v>
      </c>
      <c r="R41" s="207" t="s">
        <v>116</v>
      </c>
      <c r="S41" s="208">
        <f t="shared" si="23"/>
        <v>15</v>
      </c>
      <c r="T41" s="207" t="s">
        <v>257</v>
      </c>
      <c r="U41" s="208">
        <f t="shared" si="24"/>
        <v>15</v>
      </c>
      <c r="V41" s="207" t="s">
        <v>257</v>
      </c>
      <c r="W41" s="208">
        <f t="shared" si="25"/>
        <v>15</v>
      </c>
      <c r="X41" s="207" t="s">
        <v>20</v>
      </c>
      <c r="Y41" s="208">
        <f t="shared" si="26"/>
        <v>15</v>
      </c>
      <c r="Z41" s="207" t="s">
        <v>257</v>
      </c>
      <c r="AA41" s="208">
        <f t="shared" si="27"/>
        <v>15</v>
      </c>
      <c r="AB41" s="207" t="s">
        <v>257</v>
      </c>
      <c r="AC41" s="208">
        <f t="shared" si="28"/>
        <v>15</v>
      </c>
      <c r="AD41" s="207" t="s">
        <v>117</v>
      </c>
      <c r="AE41" s="208">
        <f t="shared" si="6"/>
        <v>10</v>
      </c>
      <c r="AF41" s="270">
        <f t="shared" si="7"/>
        <v>100</v>
      </c>
      <c r="AG41" s="270" t="str">
        <f t="shared" si="8"/>
        <v>Fuerte</v>
      </c>
      <c r="AH41" s="209" t="s">
        <v>118</v>
      </c>
      <c r="AI41" s="210" t="str">
        <f t="shared" si="9"/>
        <v>Fuerte</v>
      </c>
      <c r="AJ41" s="211" t="str">
        <f>IFERROR(VLOOKUP((CONCATENATE(AG41,AI41)),Listados!$U$3:$V$11,2,FALSE),"")</f>
        <v>Fuerte</v>
      </c>
      <c r="AK41" s="270">
        <f t="shared" si="10"/>
        <v>100</v>
      </c>
      <c r="AL41" s="447"/>
      <c r="AM41" s="449"/>
      <c r="AN41" s="269">
        <f>+IF(AND(Q41="Preventivo",AM37="Fuerte"),2,IF(AND(Q41="Preventivo",AM37="Moderado"),1,0))</f>
        <v>2</v>
      </c>
      <c r="AO41" s="269">
        <f t="shared" si="29"/>
        <v>0</v>
      </c>
      <c r="AP41" s="212">
        <f>+K37-AN41</f>
        <v>-1</v>
      </c>
      <c r="AQ41" s="212">
        <f>+M37-AO41</f>
        <v>4</v>
      </c>
      <c r="AR41" s="433"/>
      <c r="AS41" s="433"/>
      <c r="AT41" s="433"/>
      <c r="AU41" s="433"/>
      <c r="AV41" s="199" t="s">
        <v>1164</v>
      </c>
      <c r="AW41" s="198" t="s">
        <v>1157</v>
      </c>
      <c r="AX41" s="198" t="s">
        <v>1046</v>
      </c>
      <c r="AY41" s="198" t="s">
        <v>1046</v>
      </c>
      <c r="AZ41" s="199" t="s">
        <v>1158</v>
      </c>
      <c r="BA41" s="199" t="s">
        <v>1159</v>
      </c>
      <c r="BB41" s="363" t="s">
        <v>1404</v>
      </c>
      <c r="BC41" s="238" t="s">
        <v>1653</v>
      </c>
      <c r="BD41" s="288"/>
      <c r="BE41" s="557"/>
      <c r="BF41" s="549"/>
      <c r="BG41" s="549"/>
    </row>
    <row r="42" spans="1:59" ht="14.5" thickBot="1">
      <c r="A42" s="438"/>
      <c r="B42" s="439"/>
      <c r="C42" s="500"/>
      <c r="D42" s="502"/>
      <c r="E42" s="149"/>
      <c r="F42" s="149"/>
      <c r="G42" s="137"/>
      <c r="H42" s="137"/>
      <c r="I42" s="137"/>
      <c r="J42" s="495"/>
      <c r="K42" s="468"/>
      <c r="L42" s="478"/>
      <c r="M42" s="468"/>
      <c r="N42" s="497"/>
      <c r="O42" s="149"/>
      <c r="P42" s="137"/>
      <c r="Q42" s="137"/>
      <c r="R42" s="231"/>
      <c r="S42" s="208" t="str">
        <f t="shared" si="0"/>
        <v/>
      </c>
      <c r="T42" s="231"/>
      <c r="U42" s="208" t="str">
        <f t="shared" si="1"/>
        <v/>
      </c>
      <c r="V42" s="207"/>
      <c r="W42" s="208" t="str">
        <f t="shared" si="2"/>
        <v/>
      </c>
      <c r="X42" s="207"/>
      <c r="Y42" s="208" t="str">
        <f t="shared" si="3"/>
        <v/>
      </c>
      <c r="Z42" s="207"/>
      <c r="AA42" s="208" t="str">
        <f t="shared" si="4"/>
        <v/>
      </c>
      <c r="AB42" s="207"/>
      <c r="AC42" s="208" t="str">
        <f t="shared" si="5"/>
        <v/>
      </c>
      <c r="AD42" s="207"/>
      <c r="AE42" s="208" t="str">
        <f t="shared" si="6"/>
        <v/>
      </c>
      <c r="AF42" s="270" t="str">
        <f t="shared" si="7"/>
        <v/>
      </c>
      <c r="AG42" s="270" t="str">
        <f t="shared" si="8"/>
        <v/>
      </c>
      <c r="AH42" s="209"/>
      <c r="AI42" s="210" t="str">
        <f t="shared" si="9"/>
        <v>Débil</v>
      </c>
      <c r="AJ42" s="211" t="str">
        <f>IFERROR(VLOOKUP((CONCATENATE(AG42,AI42)),Listados!$U$3:$V$11,2,FALSE),"")</f>
        <v/>
      </c>
      <c r="AK42" s="270">
        <f t="shared" si="10"/>
        <v>100</v>
      </c>
      <c r="AL42" s="448"/>
      <c r="AM42" s="449"/>
      <c r="AN42" s="269">
        <f>+IF(AND(Q42="Preventivo",AM37="Fuerte"),2,IF(AND(Q42="Preventivo",AM37="Moderado"),1,0))</f>
        <v>0</v>
      </c>
      <c r="AO42" s="269">
        <f t="shared" si="29"/>
        <v>0</v>
      </c>
      <c r="AP42" s="212">
        <f>+K37-AN42</f>
        <v>1</v>
      </c>
      <c r="AQ42" s="212">
        <f>+M37-AO42</f>
        <v>4</v>
      </c>
      <c r="AR42" s="434"/>
      <c r="AS42" s="434"/>
      <c r="AT42" s="434"/>
      <c r="AU42" s="434"/>
      <c r="AV42" s="201"/>
      <c r="AW42" s="201"/>
      <c r="AX42" s="201"/>
      <c r="AY42" s="201"/>
      <c r="AZ42" s="201"/>
      <c r="BA42" s="201"/>
      <c r="BB42" s="354"/>
      <c r="BC42" s="286"/>
      <c r="BD42" s="282"/>
      <c r="BE42" s="558"/>
      <c r="BF42" s="550"/>
      <c r="BG42" s="550"/>
    </row>
    <row r="43" spans="1:59" ht="112">
      <c r="A43" s="436">
        <v>7</v>
      </c>
      <c r="B43" s="439" t="s">
        <v>98</v>
      </c>
      <c r="C43" s="500" t="str">
        <f>IFERROR(VLOOKUP(B43,Listados!B$3:C$20,2,FALSE),"")</f>
        <v>Orientar la realización de las actividades necesarias para garantizar el acceso, la administración y conservación de los documentos producidos y recibidos por la Entidad, en cumplimiento de las disposiciones emanadas por parte del Archivo General de la Nación “Jorge Palacios Preciado”.</v>
      </c>
      <c r="D43" s="502" t="s">
        <v>1297</v>
      </c>
      <c r="E43" s="149" t="s">
        <v>29</v>
      </c>
      <c r="F43" s="149" t="s">
        <v>189</v>
      </c>
      <c r="G43" s="229" t="s">
        <v>1293</v>
      </c>
      <c r="H43" s="229" t="s">
        <v>16</v>
      </c>
      <c r="I43" s="229" t="s">
        <v>215</v>
      </c>
      <c r="J43" s="495" t="s">
        <v>53</v>
      </c>
      <c r="K43" s="466">
        <f>+VLOOKUP(J43,Listados!$K$8:$L$12,2,0)</f>
        <v>4</v>
      </c>
      <c r="L43" s="477" t="s">
        <v>36</v>
      </c>
      <c r="M43" s="466">
        <f>+VLOOKUP(L43,Listados!$K$13:$L$17,2,0)</f>
        <v>3</v>
      </c>
      <c r="N43" s="496" t="str">
        <f>IF(AND(J43&lt;&gt;"",L43&lt;&gt;""),VLOOKUP(J43&amp;L43,Listados!$M$3:$N$27,2,FALSE),"")</f>
        <v>Alto</v>
      </c>
      <c r="O43" s="245" t="s">
        <v>216</v>
      </c>
      <c r="P43" s="149" t="s">
        <v>214</v>
      </c>
      <c r="Q43" s="137" t="s">
        <v>20</v>
      </c>
      <c r="R43" s="207" t="s">
        <v>116</v>
      </c>
      <c r="S43" s="208">
        <f t="shared" ref="S43:S46" si="30">+IF(R43="si",15,"")</f>
        <v>15</v>
      </c>
      <c r="T43" s="207" t="s">
        <v>257</v>
      </c>
      <c r="U43" s="208">
        <f t="shared" ref="U43:U46" si="31">+IF(T43="si",15,"")</f>
        <v>15</v>
      </c>
      <c r="V43" s="207" t="s">
        <v>257</v>
      </c>
      <c r="W43" s="208">
        <f t="shared" ref="W43:W46" si="32">+IF(V43="si",15,"")</f>
        <v>15</v>
      </c>
      <c r="X43" s="207" t="s">
        <v>20</v>
      </c>
      <c r="Y43" s="208">
        <f t="shared" ref="Y43:Y46" si="33">+IF(X43="Preventivo",15,IF(X43="Detectivo",10,""))</f>
        <v>15</v>
      </c>
      <c r="Z43" s="207" t="s">
        <v>257</v>
      </c>
      <c r="AA43" s="208">
        <f t="shared" ref="AA43:AA46" si="34">+IF(Z43="si",15,"")</f>
        <v>15</v>
      </c>
      <c r="AB43" s="207" t="s">
        <v>257</v>
      </c>
      <c r="AC43" s="208">
        <f t="shared" ref="AC43:AC46" si="35">+IF(AB43="si",15,"")</f>
        <v>15</v>
      </c>
      <c r="AD43" s="207" t="s">
        <v>117</v>
      </c>
      <c r="AE43" s="208">
        <f t="shared" si="6"/>
        <v>10</v>
      </c>
      <c r="AF43" s="270">
        <f t="shared" si="7"/>
        <v>100</v>
      </c>
      <c r="AG43" s="270" t="str">
        <f t="shared" si="8"/>
        <v>Fuerte</v>
      </c>
      <c r="AH43" s="209" t="s">
        <v>118</v>
      </c>
      <c r="AI43" s="210" t="str">
        <f t="shared" si="9"/>
        <v>Fuerte</v>
      </c>
      <c r="AJ43" s="211" t="str">
        <f>IFERROR(VLOOKUP((CONCATENATE(AG43,AI43)),Listados!$U$3:$V$11,2,FALSE),"")</f>
        <v>Fuerte</v>
      </c>
      <c r="AK43" s="270">
        <f t="shared" si="10"/>
        <v>100</v>
      </c>
      <c r="AL43" s="446">
        <f>AVERAGE(AK43:AK48)</f>
        <v>100</v>
      </c>
      <c r="AM43" s="448" t="str">
        <f>IF(AL43&lt;=50, "Débil", IF(AL43&lt;=99,"Moderado","Fuerte"))</f>
        <v>Fuerte</v>
      </c>
      <c r="AN43" s="269">
        <f>+IF(AND(Q43="Preventivo",AM43="Fuerte"),2,IF(AND(Q43="Preventivo",AM43="Moderado"),1,0))</f>
        <v>2</v>
      </c>
      <c r="AO43" s="269">
        <f t="shared" si="29"/>
        <v>0</v>
      </c>
      <c r="AP43" s="212">
        <f>+K43-AN43</f>
        <v>2</v>
      </c>
      <c r="AQ43" s="212">
        <f>+M43-AO43</f>
        <v>3</v>
      </c>
      <c r="AR43" s="435" t="str">
        <f>+VLOOKUP(MIN(AP43,AP44,AP45,AP46,AP47,AP48),Listados!$J$18:$K$24,2,TRUE)</f>
        <v>Improbable</v>
      </c>
      <c r="AS43" s="435" t="str">
        <f>+VLOOKUP(MIN(AQ43,AQ44,AQ45,AQ46,AQ47,AQ48),Listados!$J$26:$K$32,2,TRUE)</f>
        <v>Moderado</v>
      </c>
      <c r="AT43" s="435" t="str">
        <f>IF(AND(AR43&lt;&gt;"",AS43&lt;&gt;""),VLOOKUP(AR43&amp;AS43,Listados!$M$3:$N$27,2,FALSE),"")</f>
        <v>Moderado</v>
      </c>
      <c r="AU43" s="435" t="str">
        <f>+VLOOKUP(AT43,Listados!$P$3:$Q$6,2,FALSE)</f>
        <v xml:space="preserve"> Reducir el riesgo</v>
      </c>
      <c r="AV43" s="200" t="s">
        <v>1611</v>
      </c>
      <c r="AW43" s="200" t="s">
        <v>1612</v>
      </c>
      <c r="AX43" s="246">
        <v>44927</v>
      </c>
      <c r="AY43" s="246">
        <v>45291</v>
      </c>
      <c r="AZ43" s="200" t="s">
        <v>1613</v>
      </c>
      <c r="BA43" s="200" t="s">
        <v>1614</v>
      </c>
      <c r="BB43" s="344" t="s">
        <v>1408</v>
      </c>
      <c r="BC43" s="344" t="s">
        <v>1615</v>
      </c>
      <c r="BD43" s="202"/>
      <c r="BE43" s="556" t="s">
        <v>1511</v>
      </c>
      <c r="BF43" s="559" t="s">
        <v>1802</v>
      </c>
      <c r="BG43" s="559"/>
    </row>
    <row r="44" spans="1:59" ht="112">
      <c r="A44" s="437"/>
      <c r="B44" s="439"/>
      <c r="C44" s="500"/>
      <c r="D44" s="502"/>
      <c r="E44" s="149"/>
      <c r="F44" s="149"/>
      <c r="G44" s="229" t="s">
        <v>217</v>
      </c>
      <c r="H44" s="229" t="s">
        <v>16</v>
      </c>
      <c r="I44" s="229" t="s">
        <v>218</v>
      </c>
      <c r="J44" s="495"/>
      <c r="K44" s="467"/>
      <c r="L44" s="478"/>
      <c r="M44" s="467"/>
      <c r="N44" s="497"/>
      <c r="O44" s="245" t="s">
        <v>219</v>
      </c>
      <c r="P44" s="149" t="s">
        <v>217</v>
      </c>
      <c r="Q44" s="137" t="s">
        <v>123</v>
      </c>
      <c r="R44" s="207" t="s">
        <v>116</v>
      </c>
      <c r="S44" s="208">
        <f t="shared" si="30"/>
        <v>15</v>
      </c>
      <c r="T44" s="207" t="s">
        <v>257</v>
      </c>
      <c r="U44" s="208">
        <f t="shared" si="31"/>
        <v>15</v>
      </c>
      <c r="V44" s="207" t="s">
        <v>257</v>
      </c>
      <c r="W44" s="208">
        <f t="shared" si="32"/>
        <v>15</v>
      </c>
      <c r="X44" s="207" t="s">
        <v>20</v>
      </c>
      <c r="Y44" s="208">
        <f t="shared" si="33"/>
        <v>15</v>
      </c>
      <c r="Z44" s="207" t="s">
        <v>257</v>
      </c>
      <c r="AA44" s="208">
        <f t="shared" si="34"/>
        <v>15</v>
      </c>
      <c r="AB44" s="207" t="s">
        <v>257</v>
      </c>
      <c r="AC44" s="208">
        <f t="shared" si="35"/>
        <v>15</v>
      </c>
      <c r="AD44" s="207" t="s">
        <v>117</v>
      </c>
      <c r="AE44" s="208">
        <f t="shared" si="6"/>
        <v>10</v>
      </c>
      <c r="AF44" s="270">
        <f t="shared" si="7"/>
        <v>100</v>
      </c>
      <c r="AG44" s="270" t="str">
        <f t="shared" si="8"/>
        <v>Fuerte</v>
      </c>
      <c r="AH44" s="209" t="s">
        <v>118</v>
      </c>
      <c r="AI44" s="210" t="str">
        <f t="shared" si="9"/>
        <v>Fuerte</v>
      </c>
      <c r="AJ44" s="211" t="str">
        <f>IFERROR(VLOOKUP((CONCATENATE(AG44,AI44)),Listados!$U$3:$V$11,2,FALSE),"")</f>
        <v>Fuerte</v>
      </c>
      <c r="AK44" s="270">
        <f t="shared" si="10"/>
        <v>100</v>
      </c>
      <c r="AL44" s="447"/>
      <c r="AM44" s="449"/>
      <c r="AN44" s="269">
        <f>+IF(AND(Q44="Preventivo",AM43="Fuerte"),2,IF(AND(Q44="Preventivo",AM43="Moderado"),1,0))</f>
        <v>0</v>
      </c>
      <c r="AO44" s="269">
        <f t="shared" si="29"/>
        <v>0</v>
      </c>
      <c r="AP44" s="212">
        <f>+K43-AN44</f>
        <v>4</v>
      </c>
      <c r="AQ44" s="212">
        <f>+M43-AO44</f>
        <v>3</v>
      </c>
      <c r="AR44" s="433"/>
      <c r="AS44" s="433"/>
      <c r="AT44" s="433"/>
      <c r="AU44" s="433"/>
      <c r="AV44" s="200"/>
      <c r="AW44" s="252"/>
      <c r="AX44" s="246"/>
      <c r="AY44" s="246"/>
      <c r="AZ44" s="200"/>
      <c r="BA44" s="200"/>
      <c r="BB44" s="344" t="s">
        <v>1409</v>
      </c>
      <c r="BC44" s="282" t="s">
        <v>1616</v>
      </c>
      <c r="BD44" s="202"/>
      <c r="BE44" s="557"/>
      <c r="BF44" s="549"/>
      <c r="BG44" s="549"/>
    </row>
    <row r="45" spans="1:59" ht="224">
      <c r="A45" s="437"/>
      <c r="B45" s="439"/>
      <c r="C45" s="500"/>
      <c r="D45" s="502"/>
      <c r="E45" s="149"/>
      <c r="F45" s="149"/>
      <c r="G45" s="229" t="s">
        <v>220</v>
      </c>
      <c r="H45" s="229" t="s">
        <v>16</v>
      </c>
      <c r="I45" s="229" t="s">
        <v>221</v>
      </c>
      <c r="J45" s="495"/>
      <c r="K45" s="467"/>
      <c r="L45" s="478"/>
      <c r="M45" s="467"/>
      <c r="N45" s="497"/>
      <c r="O45" s="245" t="s">
        <v>222</v>
      </c>
      <c r="P45" s="149" t="s">
        <v>220</v>
      </c>
      <c r="Q45" s="137" t="s">
        <v>123</v>
      </c>
      <c r="R45" s="207" t="s">
        <v>116</v>
      </c>
      <c r="S45" s="208">
        <f t="shared" si="30"/>
        <v>15</v>
      </c>
      <c r="T45" s="207" t="s">
        <v>257</v>
      </c>
      <c r="U45" s="208">
        <f t="shared" si="31"/>
        <v>15</v>
      </c>
      <c r="V45" s="207" t="s">
        <v>257</v>
      </c>
      <c r="W45" s="208">
        <f t="shared" si="32"/>
        <v>15</v>
      </c>
      <c r="X45" s="207" t="s">
        <v>20</v>
      </c>
      <c r="Y45" s="208">
        <f t="shared" si="33"/>
        <v>15</v>
      </c>
      <c r="Z45" s="207" t="s">
        <v>257</v>
      </c>
      <c r="AA45" s="208">
        <f t="shared" si="34"/>
        <v>15</v>
      </c>
      <c r="AB45" s="207" t="s">
        <v>257</v>
      </c>
      <c r="AC45" s="208">
        <f t="shared" si="35"/>
        <v>15</v>
      </c>
      <c r="AD45" s="207" t="s">
        <v>117</v>
      </c>
      <c r="AE45" s="208">
        <f t="shared" si="6"/>
        <v>10</v>
      </c>
      <c r="AF45" s="270">
        <f t="shared" si="7"/>
        <v>100</v>
      </c>
      <c r="AG45" s="270" t="str">
        <f t="shared" si="8"/>
        <v>Fuerte</v>
      </c>
      <c r="AH45" s="209" t="s">
        <v>118</v>
      </c>
      <c r="AI45" s="210" t="str">
        <f t="shared" si="9"/>
        <v>Fuerte</v>
      </c>
      <c r="AJ45" s="211" t="str">
        <f>IFERROR(VLOOKUP((CONCATENATE(AG45,AI45)),Listados!$U$3:$V$11,2,FALSE),"")</f>
        <v>Fuerte</v>
      </c>
      <c r="AK45" s="270">
        <f t="shared" si="10"/>
        <v>100</v>
      </c>
      <c r="AL45" s="447"/>
      <c r="AM45" s="449"/>
      <c r="AN45" s="269">
        <f>+IF(AND(Q45="Preventivo",AM43="Fuerte"),2,IF(AND(Q45="Preventivo",AM43="Moderado"),1,0))</f>
        <v>0</v>
      </c>
      <c r="AO45" s="269">
        <f t="shared" si="29"/>
        <v>0</v>
      </c>
      <c r="AP45" s="212">
        <f>+K43-AN45</f>
        <v>4</v>
      </c>
      <c r="AQ45" s="212">
        <f>+M43-AO45</f>
        <v>3</v>
      </c>
      <c r="AR45" s="433"/>
      <c r="AS45" s="433"/>
      <c r="AT45" s="433"/>
      <c r="AU45" s="433"/>
      <c r="AV45" s="200"/>
      <c r="AW45" s="252"/>
      <c r="AX45" s="246"/>
      <c r="AY45" s="246"/>
      <c r="AZ45" s="200"/>
      <c r="BA45" s="200"/>
      <c r="BB45" s="344" t="s">
        <v>1410</v>
      </c>
      <c r="BC45" s="282" t="s">
        <v>1617</v>
      </c>
      <c r="BD45" s="202"/>
      <c r="BE45" s="557"/>
      <c r="BF45" s="549"/>
      <c r="BG45" s="549"/>
    </row>
    <row r="46" spans="1:59" ht="140">
      <c r="A46" s="437"/>
      <c r="B46" s="439"/>
      <c r="C46" s="500"/>
      <c r="D46" s="502"/>
      <c r="E46" s="149"/>
      <c r="F46" s="149"/>
      <c r="G46" s="229" t="s">
        <v>223</v>
      </c>
      <c r="H46" s="229" t="s">
        <v>16</v>
      </c>
      <c r="I46" s="229" t="s">
        <v>224</v>
      </c>
      <c r="J46" s="495"/>
      <c r="K46" s="467"/>
      <c r="L46" s="478"/>
      <c r="M46" s="467"/>
      <c r="N46" s="497"/>
      <c r="O46" s="245" t="s">
        <v>225</v>
      </c>
      <c r="P46" s="149" t="s">
        <v>223</v>
      </c>
      <c r="Q46" s="137" t="s">
        <v>123</v>
      </c>
      <c r="R46" s="207" t="s">
        <v>116</v>
      </c>
      <c r="S46" s="208">
        <f t="shared" si="30"/>
        <v>15</v>
      </c>
      <c r="T46" s="207" t="s">
        <v>257</v>
      </c>
      <c r="U46" s="208">
        <f t="shared" si="31"/>
        <v>15</v>
      </c>
      <c r="V46" s="207" t="s">
        <v>257</v>
      </c>
      <c r="W46" s="208">
        <f t="shared" si="32"/>
        <v>15</v>
      </c>
      <c r="X46" s="207" t="s">
        <v>20</v>
      </c>
      <c r="Y46" s="208">
        <f t="shared" si="33"/>
        <v>15</v>
      </c>
      <c r="Z46" s="207" t="s">
        <v>257</v>
      </c>
      <c r="AA46" s="208">
        <f t="shared" si="34"/>
        <v>15</v>
      </c>
      <c r="AB46" s="207" t="s">
        <v>257</v>
      </c>
      <c r="AC46" s="208">
        <f t="shared" si="35"/>
        <v>15</v>
      </c>
      <c r="AD46" s="207" t="s">
        <v>117</v>
      </c>
      <c r="AE46" s="208">
        <f t="shared" si="6"/>
        <v>10</v>
      </c>
      <c r="AF46" s="270">
        <f t="shared" si="7"/>
        <v>100</v>
      </c>
      <c r="AG46" s="270" t="str">
        <f t="shared" si="8"/>
        <v>Fuerte</v>
      </c>
      <c r="AH46" s="209" t="s">
        <v>118</v>
      </c>
      <c r="AI46" s="210" t="str">
        <f t="shared" si="9"/>
        <v>Fuerte</v>
      </c>
      <c r="AJ46" s="211" t="str">
        <f>IFERROR(VLOOKUP((CONCATENATE(AG46,AI46)),Listados!$U$3:$V$11,2,FALSE),"")</f>
        <v>Fuerte</v>
      </c>
      <c r="AK46" s="270">
        <f t="shared" si="10"/>
        <v>100</v>
      </c>
      <c r="AL46" s="447"/>
      <c r="AM46" s="449"/>
      <c r="AN46" s="269">
        <f>+IF(AND(Q46="Preventivo",AM43="Fuerte"),2,IF(AND(Q46="Preventivo",AM43="Moderado"),1,0))</f>
        <v>0</v>
      </c>
      <c r="AO46" s="269">
        <f t="shared" si="29"/>
        <v>0</v>
      </c>
      <c r="AP46" s="212">
        <f>+K43-AN46</f>
        <v>4</v>
      </c>
      <c r="AQ46" s="212">
        <f>+M43-AO46</f>
        <v>3</v>
      </c>
      <c r="AR46" s="433"/>
      <c r="AS46" s="433"/>
      <c r="AT46" s="433"/>
      <c r="AU46" s="433"/>
      <c r="AV46" s="200"/>
      <c r="AW46" s="200"/>
      <c r="AX46" s="246"/>
      <c r="AY46" s="246"/>
      <c r="AZ46" s="200"/>
      <c r="BA46" s="200"/>
      <c r="BB46" s="344" t="s">
        <v>1411</v>
      </c>
      <c r="BC46" s="282" t="s">
        <v>1618</v>
      </c>
      <c r="BD46" s="202"/>
      <c r="BE46" s="557"/>
      <c r="BF46" s="549"/>
      <c r="BG46" s="549"/>
    </row>
    <row r="47" spans="1:59" ht="84">
      <c r="A47" s="437"/>
      <c r="B47" s="439"/>
      <c r="C47" s="500"/>
      <c r="D47" s="502"/>
      <c r="E47" s="149"/>
      <c r="F47" s="149"/>
      <c r="G47" s="137" t="s">
        <v>1294</v>
      </c>
      <c r="H47" s="137" t="s">
        <v>16</v>
      </c>
      <c r="I47" s="229" t="s">
        <v>1295</v>
      </c>
      <c r="J47" s="495"/>
      <c r="K47" s="467"/>
      <c r="L47" s="478"/>
      <c r="M47" s="467"/>
      <c r="N47" s="497"/>
      <c r="O47" s="149"/>
      <c r="P47" s="137"/>
      <c r="Q47" s="137"/>
      <c r="R47" s="231"/>
      <c r="S47" s="208" t="str">
        <f t="shared" si="0"/>
        <v/>
      </c>
      <c r="T47" s="231"/>
      <c r="U47" s="208" t="str">
        <f t="shared" si="1"/>
        <v/>
      </c>
      <c r="V47" s="207"/>
      <c r="W47" s="208" t="str">
        <f t="shared" si="2"/>
        <v/>
      </c>
      <c r="X47" s="207"/>
      <c r="Y47" s="208" t="str">
        <f t="shared" si="3"/>
        <v/>
      </c>
      <c r="Z47" s="207"/>
      <c r="AA47" s="208" t="str">
        <f t="shared" si="4"/>
        <v/>
      </c>
      <c r="AB47" s="207"/>
      <c r="AC47" s="208" t="str">
        <f t="shared" si="5"/>
        <v/>
      </c>
      <c r="AD47" s="207"/>
      <c r="AE47" s="208" t="str">
        <f t="shared" si="6"/>
        <v/>
      </c>
      <c r="AF47" s="270" t="str">
        <f t="shared" si="7"/>
        <v/>
      </c>
      <c r="AG47" s="270" t="str">
        <f t="shared" si="8"/>
        <v/>
      </c>
      <c r="AH47" s="209"/>
      <c r="AI47" s="210" t="str">
        <f t="shared" si="9"/>
        <v>Débil</v>
      </c>
      <c r="AJ47" s="211" t="str">
        <f>IFERROR(VLOOKUP((CONCATENATE(AG47,AI47)),Listados!$U$3:$V$11,2,FALSE),"")</f>
        <v/>
      </c>
      <c r="AK47" s="270">
        <f t="shared" si="10"/>
        <v>100</v>
      </c>
      <c r="AL47" s="447"/>
      <c r="AM47" s="449"/>
      <c r="AN47" s="269">
        <f>+IF(AND(Q47="Preventivo",AM43="Fuerte"),2,IF(AND(Q47="Preventivo",AM43="Moderado"),1,0))</f>
        <v>0</v>
      </c>
      <c r="AO47" s="269">
        <f t="shared" si="29"/>
        <v>0</v>
      </c>
      <c r="AP47" s="212">
        <f>+K43-AN47</f>
        <v>4</v>
      </c>
      <c r="AQ47" s="212">
        <f>+M43-AO47</f>
        <v>3</v>
      </c>
      <c r="AR47" s="433"/>
      <c r="AS47" s="433"/>
      <c r="AT47" s="433"/>
      <c r="AU47" s="433"/>
      <c r="AV47" s="201"/>
      <c r="AW47" s="201"/>
      <c r="AX47" s="201"/>
      <c r="AY47" s="201"/>
      <c r="AZ47" s="201"/>
      <c r="BA47" s="201"/>
      <c r="BB47" s="354"/>
      <c r="BC47" s="282"/>
      <c r="BD47" s="282"/>
      <c r="BE47" s="557"/>
      <c r="BF47" s="549"/>
      <c r="BG47" s="549"/>
    </row>
    <row r="48" spans="1:59" ht="56.5" thickBot="1">
      <c r="A48" s="438"/>
      <c r="B48" s="439"/>
      <c r="C48" s="500"/>
      <c r="D48" s="502"/>
      <c r="E48" s="149"/>
      <c r="F48" s="149"/>
      <c r="G48" s="137"/>
      <c r="H48" s="137"/>
      <c r="I48" s="229" t="s">
        <v>1296</v>
      </c>
      <c r="J48" s="495"/>
      <c r="K48" s="468"/>
      <c r="L48" s="478"/>
      <c r="M48" s="468"/>
      <c r="N48" s="497"/>
      <c r="O48" s="149"/>
      <c r="P48" s="137"/>
      <c r="Q48" s="137"/>
      <c r="R48" s="231"/>
      <c r="S48" s="208" t="str">
        <f t="shared" si="0"/>
        <v/>
      </c>
      <c r="T48" s="231"/>
      <c r="U48" s="208" t="str">
        <f t="shared" si="1"/>
        <v/>
      </c>
      <c r="V48" s="207"/>
      <c r="W48" s="208" t="str">
        <f t="shared" si="2"/>
        <v/>
      </c>
      <c r="X48" s="207"/>
      <c r="Y48" s="208" t="str">
        <f t="shared" si="3"/>
        <v/>
      </c>
      <c r="Z48" s="207"/>
      <c r="AA48" s="208" t="str">
        <f t="shared" si="4"/>
        <v/>
      </c>
      <c r="AB48" s="207"/>
      <c r="AC48" s="208" t="str">
        <f t="shared" si="5"/>
        <v/>
      </c>
      <c r="AD48" s="207"/>
      <c r="AE48" s="208" t="str">
        <f t="shared" si="6"/>
        <v/>
      </c>
      <c r="AF48" s="270" t="str">
        <f t="shared" si="7"/>
        <v/>
      </c>
      <c r="AG48" s="270" t="str">
        <f t="shared" si="8"/>
        <v/>
      </c>
      <c r="AH48" s="209"/>
      <c r="AI48" s="210" t="str">
        <f t="shared" si="9"/>
        <v>Débil</v>
      </c>
      <c r="AJ48" s="211" t="str">
        <f>IFERROR(VLOOKUP((CONCATENATE(AG48,AI48)),Listados!$U$3:$V$11,2,FALSE),"")</f>
        <v/>
      </c>
      <c r="AK48" s="270">
        <f t="shared" si="10"/>
        <v>100</v>
      </c>
      <c r="AL48" s="448"/>
      <c r="AM48" s="449"/>
      <c r="AN48" s="269">
        <f>+IF(AND(Q48="Preventivo",AM43="Fuerte"),2,IF(AND(Q48="Preventivo",AM43="Moderado"),1,0))</f>
        <v>0</v>
      </c>
      <c r="AO48" s="269">
        <f t="shared" si="29"/>
        <v>0</v>
      </c>
      <c r="AP48" s="212">
        <f>+K43-AN48</f>
        <v>4</v>
      </c>
      <c r="AQ48" s="212">
        <f>+M43-AO48</f>
        <v>3</v>
      </c>
      <c r="AR48" s="434"/>
      <c r="AS48" s="434"/>
      <c r="AT48" s="434"/>
      <c r="AU48" s="434"/>
      <c r="AV48" s="201"/>
      <c r="AW48" s="201"/>
      <c r="AX48" s="201"/>
      <c r="AY48" s="201"/>
      <c r="AZ48" s="201"/>
      <c r="BA48" s="201"/>
      <c r="BB48" s="354"/>
      <c r="BC48" s="282"/>
      <c r="BD48" s="282"/>
      <c r="BE48" s="558"/>
      <c r="BF48" s="550"/>
      <c r="BG48" s="550"/>
    </row>
    <row r="49" spans="1:59" ht="98">
      <c r="A49" s="436">
        <v>8</v>
      </c>
      <c r="B49" s="439" t="s">
        <v>98</v>
      </c>
      <c r="C49" s="500" t="str">
        <f>IFERROR(VLOOKUP(B49,Listados!B$3:C$20,2,FALSE),"")</f>
        <v>Orientar la realización de las actividades necesarias para garantizar el acceso, la administración y conservación de los documentos producidos y recibidos por la Entidad, en cumplimiento de las disposiciones emanadas por parte del Archivo General de la Nación “Jorge Palacios Preciado”.</v>
      </c>
      <c r="D49" s="507" t="s">
        <v>1298</v>
      </c>
      <c r="E49" s="149" t="s">
        <v>29</v>
      </c>
      <c r="F49" s="149" t="s">
        <v>189</v>
      </c>
      <c r="G49" s="229" t="s">
        <v>226</v>
      </c>
      <c r="H49" s="229" t="s">
        <v>16</v>
      </c>
      <c r="I49" s="229" t="s">
        <v>227</v>
      </c>
      <c r="J49" s="504" t="s">
        <v>53</v>
      </c>
      <c r="K49" s="466">
        <f>+VLOOKUP(J49,Listados!$K$8:$L$12,2,0)</f>
        <v>4</v>
      </c>
      <c r="L49" s="481" t="s">
        <v>36</v>
      </c>
      <c r="M49" s="466">
        <f>+VLOOKUP(L49,Listados!$K$13:$L$17,2,0)</f>
        <v>3</v>
      </c>
      <c r="N49" s="469" t="str">
        <f>IF(AND(J49&lt;&gt;"",L49&lt;&gt;""),VLOOKUP(J49&amp;L49,Listados!$M$3:$N$27,2,FALSE),"")</f>
        <v>Alto</v>
      </c>
      <c r="O49" s="245" t="s">
        <v>228</v>
      </c>
      <c r="P49" s="137" t="s">
        <v>226</v>
      </c>
      <c r="Q49" s="137" t="s">
        <v>123</v>
      </c>
      <c r="R49" s="207" t="s">
        <v>116</v>
      </c>
      <c r="S49" s="208">
        <f t="shared" ref="S49:S50" si="36">+IF(R49="si",15,"")</f>
        <v>15</v>
      </c>
      <c r="T49" s="207" t="s">
        <v>257</v>
      </c>
      <c r="U49" s="208">
        <f t="shared" ref="U49:U50" si="37">+IF(T49="si",15,"")</f>
        <v>15</v>
      </c>
      <c r="V49" s="207" t="s">
        <v>257</v>
      </c>
      <c r="W49" s="208">
        <f t="shared" ref="W49:W50" si="38">+IF(V49="si",15,"")</f>
        <v>15</v>
      </c>
      <c r="X49" s="207" t="s">
        <v>20</v>
      </c>
      <c r="Y49" s="208">
        <f t="shared" ref="Y49:Y50" si="39">+IF(X49="Preventivo",15,IF(X49="Detectivo",10,""))</f>
        <v>15</v>
      </c>
      <c r="Z49" s="207" t="s">
        <v>257</v>
      </c>
      <c r="AA49" s="208">
        <f t="shared" ref="AA49:AA50" si="40">+IF(Z49="si",15,"")</f>
        <v>15</v>
      </c>
      <c r="AB49" s="207" t="s">
        <v>257</v>
      </c>
      <c r="AC49" s="208">
        <f t="shared" ref="AC49:AC50" si="41">+IF(AB49="si",15,"")</f>
        <v>15</v>
      </c>
      <c r="AD49" s="207" t="s">
        <v>117</v>
      </c>
      <c r="AE49" s="208">
        <f t="shared" si="6"/>
        <v>10</v>
      </c>
      <c r="AF49" s="270">
        <f t="shared" si="7"/>
        <v>100</v>
      </c>
      <c r="AG49" s="270" t="str">
        <f t="shared" si="8"/>
        <v>Fuerte</v>
      </c>
      <c r="AH49" s="209" t="s">
        <v>118</v>
      </c>
      <c r="AI49" s="210" t="str">
        <f t="shared" si="9"/>
        <v>Fuerte</v>
      </c>
      <c r="AJ49" s="211" t="str">
        <f>IFERROR(VLOOKUP((CONCATENATE(AG49,AI49)),Listados!$U$3:$V$11,2,FALSE),"")</f>
        <v>Fuerte</v>
      </c>
      <c r="AK49" s="270">
        <f t="shared" si="10"/>
        <v>100</v>
      </c>
      <c r="AL49" s="446">
        <f>AVERAGE(AK49:AK54)</f>
        <v>100</v>
      </c>
      <c r="AM49" s="448" t="str">
        <f>IF(AL49&lt;=50, "Débil", IF(AL49&lt;=99,"Moderado","Fuerte"))</f>
        <v>Fuerte</v>
      </c>
      <c r="AN49" s="269">
        <f>+IF(AND(Q49="Preventivo",AM49="Fuerte"),2,IF(AND(Q49="Preventivo",AM49="Moderado"),1,0))</f>
        <v>0</v>
      </c>
      <c r="AO49" s="269">
        <f t="shared" si="29"/>
        <v>0</v>
      </c>
      <c r="AP49" s="212">
        <f>+K49-AN49</f>
        <v>4</v>
      </c>
      <c r="AQ49" s="212">
        <f>+M49-AO49</f>
        <v>3</v>
      </c>
      <c r="AR49" s="435" t="str">
        <f>+VLOOKUP(MIN(AP49,AP50,AP51,AP52,AP53,AP54),Listados!$J$18:$K$24,2,TRUE)</f>
        <v>Probable</v>
      </c>
      <c r="AS49" s="435" t="str">
        <f>+VLOOKUP(MIN(AQ49,AQ50,AQ51,AQ52,AQ53,AQ54),Listados!$J$27:$K$32,2,TRUE)</f>
        <v>Moderado</v>
      </c>
      <c r="AT49" s="435" t="str">
        <f>IF(AND(AR49&lt;&gt;"",AS49&lt;&gt;""),VLOOKUP(AR49&amp;AS49,Listados!$M$3:$N$27,2,FALSE),"")</f>
        <v>Alto</v>
      </c>
      <c r="AU49" s="435" t="str">
        <f>+VLOOKUP(AT49,Listados!$P$3:$Q$6,2,FALSE)</f>
        <v>Reducir el riesgo</v>
      </c>
      <c r="AV49" s="200" t="s">
        <v>1256</v>
      </c>
      <c r="AW49" s="200" t="s">
        <v>1251</v>
      </c>
      <c r="AX49" s="246">
        <v>44927</v>
      </c>
      <c r="AY49" s="246">
        <v>45291</v>
      </c>
      <c r="AZ49" s="200" t="s">
        <v>1252</v>
      </c>
      <c r="BA49" s="200" t="s">
        <v>1254</v>
      </c>
      <c r="BB49" s="354" t="s">
        <v>1412</v>
      </c>
      <c r="BC49" s="282" t="s">
        <v>1412</v>
      </c>
      <c r="BD49" s="202"/>
      <c r="BE49" s="556" t="s">
        <v>1512</v>
      </c>
      <c r="BF49" s="559" t="s">
        <v>1803</v>
      </c>
      <c r="BG49" s="559"/>
    </row>
    <row r="50" spans="1:59" ht="140">
      <c r="A50" s="437"/>
      <c r="B50" s="439"/>
      <c r="C50" s="500"/>
      <c r="D50" s="507"/>
      <c r="E50" s="149"/>
      <c r="F50" s="149"/>
      <c r="G50" s="229" t="s">
        <v>229</v>
      </c>
      <c r="H50" s="229" t="s">
        <v>16</v>
      </c>
      <c r="I50" s="229" t="s">
        <v>230</v>
      </c>
      <c r="J50" s="495"/>
      <c r="K50" s="467"/>
      <c r="L50" s="478"/>
      <c r="M50" s="467"/>
      <c r="N50" s="497"/>
      <c r="O50" s="245" t="s">
        <v>231</v>
      </c>
      <c r="P50" s="137" t="s">
        <v>229</v>
      </c>
      <c r="Q50" s="137" t="s">
        <v>123</v>
      </c>
      <c r="R50" s="207" t="s">
        <v>116</v>
      </c>
      <c r="S50" s="208">
        <f t="shared" si="36"/>
        <v>15</v>
      </c>
      <c r="T50" s="207" t="s">
        <v>257</v>
      </c>
      <c r="U50" s="208">
        <f t="shared" si="37"/>
        <v>15</v>
      </c>
      <c r="V50" s="207" t="s">
        <v>257</v>
      </c>
      <c r="W50" s="208">
        <f t="shared" si="38"/>
        <v>15</v>
      </c>
      <c r="X50" s="207" t="s">
        <v>20</v>
      </c>
      <c r="Y50" s="208">
        <f t="shared" si="39"/>
        <v>15</v>
      </c>
      <c r="Z50" s="207" t="s">
        <v>257</v>
      </c>
      <c r="AA50" s="208">
        <f t="shared" si="40"/>
        <v>15</v>
      </c>
      <c r="AB50" s="207" t="s">
        <v>257</v>
      </c>
      <c r="AC50" s="208">
        <f t="shared" si="41"/>
        <v>15</v>
      </c>
      <c r="AD50" s="207" t="s">
        <v>117</v>
      </c>
      <c r="AE50" s="208">
        <f t="shared" si="6"/>
        <v>10</v>
      </c>
      <c r="AF50" s="270">
        <f t="shared" si="7"/>
        <v>100</v>
      </c>
      <c r="AG50" s="270" t="str">
        <f t="shared" si="8"/>
        <v>Fuerte</v>
      </c>
      <c r="AH50" s="209" t="s">
        <v>118</v>
      </c>
      <c r="AI50" s="210" t="str">
        <f t="shared" si="9"/>
        <v>Fuerte</v>
      </c>
      <c r="AJ50" s="211" t="str">
        <f>IFERROR(VLOOKUP((CONCATENATE(AG50,AI50)),Listados!$U$3:$V$11,2,FALSE),"")</f>
        <v>Fuerte</v>
      </c>
      <c r="AK50" s="270">
        <f t="shared" si="10"/>
        <v>100</v>
      </c>
      <c r="AL50" s="447"/>
      <c r="AM50" s="449"/>
      <c r="AN50" s="269">
        <f>+IF(AND(Q50="Preventivo",AM49="Fuerte"),2,IF(AND(Q50="Preventivo",AM49="Moderado"),1,0))</f>
        <v>0</v>
      </c>
      <c r="AO50" s="269">
        <f t="shared" si="29"/>
        <v>0</v>
      </c>
      <c r="AP50" s="212">
        <f>+K49-AN50</f>
        <v>4</v>
      </c>
      <c r="AQ50" s="212">
        <f>+M49-AO50</f>
        <v>3</v>
      </c>
      <c r="AR50" s="433"/>
      <c r="AS50" s="433"/>
      <c r="AT50" s="433"/>
      <c r="AU50" s="433"/>
      <c r="AV50" s="200" t="s">
        <v>1257</v>
      </c>
      <c r="AW50" s="200" t="s">
        <v>1251</v>
      </c>
      <c r="AX50" s="246">
        <v>44927</v>
      </c>
      <c r="AY50" s="246">
        <v>45291</v>
      </c>
      <c r="AZ50" s="200" t="s">
        <v>1252</v>
      </c>
      <c r="BA50" s="200" t="s">
        <v>1255</v>
      </c>
      <c r="BB50" s="354" t="s">
        <v>1412</v>
      </c>
      <c r="BC50" s="282" t="s">
        <v>1412</v>
      </c>
      <c r="BD50" s="202"/>
      <c r="BE50" s="557"/>
      <c r="BF50" s="549"/>
      <c r="BG50" s="549"/>
    </row>
    <row r="51" spans="1:59">
      <c r="A51" s="437"/>
      <c r="B51" s="439"/>
      <c r="C51" s="500"/>
      <c r="D51" s="507"/>
      <c r="E51" s="149"/>
      <c r="F51" s="149"/>
      <c r="G51" s="137"/>
      <c r="H51" s="137"/>
      <c r="I51" s="137"/>
      <c r="J51" s="495"/>
      <c r="K51" s="467"/>
      <c r="L51" s="478"/>
      <c r="M51" s="467"/>
      <c r="N51" s="497"/>
      <c r="O51" s="149"/>
      <c r="P51" s="137"/>
      <c r="Q51" s="137"/>
      <c r="R51" s="231"/>
      <c r="S51" s="208" t="str">
        <f t="shared" si="0"/>
        <v/>
      </c>
      <c r="T51" s="231"/>
      <c r="U51" s="208" t="str">
        <f t="shared" si="1"/>
        <v/>
      </c>
      <c r="V51" s="207"/>
      <c r="W51" s="208" t="str">
        <f t="shared" si="2"/>
        <v/>
      </c>
      <c r="X51" s="207"/>
      <c r="Y51" s="208" t="str">
        <f t="shared" si="3"/>
        <v/>
      </c>
      <c r="Z51" s="207"/>
      <c r="AA51" s="208" t="str">
        <f t="shared" si="4"/>
        <v/>
      </c>
      <c r="AB51" s="207"/>
      <c r="AC51" s="208" t="str">
        <f t="shared" si="5"/>
        <v/>
      </c>
      <c r="AD51" s="207"/>
      <c r="AE51" s="208" t="str">
        <f t="shared" si="6"/>
        <v/>
      </c>
      <c r="AF51" s="270" t="str">
        <f t="shared" si="7"/>
        <v/>
      </c>
      <c r="AG51" s="270" t="str">
        <f t="shared" si="8"/>
        <v/>
      </c>
      <c r="AH51" s="209"/>
      <c r="AI51" s="210" t="str">
        <f t="shared" si="9"/>
        <v>Débil</v>
      </c>
      <c r="AJ51" s="211" t="str">
        <f>IFERROR(VLOOKUP((CONCATENATE(AG51,AI51)),Listados!$U$3:$V$11,2,FALSE),"")</f>
        <v/>
      </c>
      <c r="AK51" s="270">
        <f t="shared" si="10"/>
        <v>100</v>
      </c>
      <c r="AL51" s="447"/>
      <c r="AM51" s="449"/>
      <c r="AN51" s="269">
        <f>+IF(AND(Q51="Preventivo",AM49="Fuerte"),2,IF(AND(Q51="Preventivo",AM49="Moderado"),1,0))</f>
        <v>0</v>
      </c>
      <c r="AO51" s="269">
        <f t="shared" si="29"/>
        <v>0</v>
      </c>
      <c r="AP51" s="212">
        <f>+K49-AN51</f>
        <v>4</v>
      </c>
      <c r="AQ51" s="212">
        <f>+M49-AO51</f>
        <v>3</v>
      </c>
      <c r="AR51" s="433"/>
      <c r="AS51" s="433"/>
      <c r="AT51" s="433"/>
      <c r="AU51" s="433"/>
      <c r="AV51" s="201"/>
      <c r="AW51" s="201"/>
      <c r="AX51" s="201"/>
      <c r="AY51" s="201"/>
      <c r="AZ51" s="201"/>
      <c r="BA51" s="201"/>
      <c r="BB51" s="354"/>
      <c r="BC51" s="282"/>
      <c r="BD51" s="282"/>
      <c r="BE51" s="557"/>
      <c r="BF51" s="549"/>
      <c r="BG51" s="549"/>
    </row>
    <row r="52" spans="1:59">
      <c r="A52" s="437"/>
      <c r="B52" s="439"/>
      <c r="C52" s="500"/>
      <c r="D52" s="507"/>
      <c r="E52" s="149"/>
      <c r="F52" s="149"/>
      <c r="G52" s="137"/>
      <c r="H52" s="137"/>
      <c r="I52" s="137"/>
      <c r="J52" s="495"/>
      <c r="K52" s="467"/>
      <c r="L52" s="478"/>
      <c r="M52" s="467"/>
      <c r="N52" s="497"/>
      <c r="O52" s="149"/>
      <c r="P52" s="137"/>
      <c r="Q52" s="137"/>
      <c r="R52" s="231"/>
      <c r="S52" s="208" t="str">
        <f t="shared" si="0"/>
        <v/>
      </c>
      <c r="T52" s="231"/>
      <c r="U52" s="208" t="str">
        <f t="shared" si="1"/>
        <v/>
      </c>
      <c r="V52" s="207"/>
      <c r="W52" s="208" t="str">
        <f t="shared" si="2"/>
        <v/>
      </c>
      <c r="X52" s="207"/>
      <c r="Y52" s="208" t="str">
        <f t="shared" si="3"/>
        <v/>
      </c>
      <c r="Z52" s="207"/>
      <c r="AA52" s="208" t="str">
        <f t="shared" si="4"/>
        <v/>
      </c>
      <c r="AB52" s="207"/>
      <c r="AC52" s="208" t="str">
        <f t="shared" si="5"/>
        <v/>
      </c>
      <c r="AD52" s="207"/>
      <c r="AE52" s="208" t="str">
        <f t="shared" si="6"/>
        <v/>
      </c>
      <c r="AF52" s="270" t="str">
        <f t="shared" si="7"/>
        <v/>
      </c>
      <c r="AG52" s="270" t="str">
        <f t="shared" si="8"/>
        <v/>
      </c>
      <c r="AH52" s="209"/>
      <c r="AI52" s="210" t="str">
        <f t="shared" si="9"/>
        <v>Débil</v>
      </c>
      <c r="AJ52" s="211" t="str">
        <f>IFERROR(VLOOKUP((CONCATENATE(AG52,AI52)),Listados!$U$3:$V$11,2,FALSE),"")</f>
        <v/>
      </c>
      <c r="AK52" s="270">
        <f t="shared" si="10"/>
        <v>100</v>
      </c>
      <c r="AL52" s="447"/>
      <c r="AM52" s="449"/>
      <c r="AN52" s="269">
        <f>+IF(AND(Q52="Preventivo",AM49="Fuerte"),2,IF(AND(Q52="Preventivo",AM49="Moderado"),1,0))</f>
        <v>0</v>
      </c>
      <c r="AO52" s="269">
        <f t="shared" si="29"/>
        <v>0</v>
      </c>
      <c r="AP52" s="212">
        <f>+K49-AN52</f>
        <v>4</v>
      </c>
      <c r="AQ52" s="212">
        <f>+M49-AO52</f>
        <v>3</v>
      </c>
      <c r="AR52" s="433"/>
      <c r="AS52" s="433"/>
      <c r="AT52" s="433"/>
      <c r="AU52" s="433"/>
      <c r="AV52" s="201"/>
      <c r="AW52" s="201"/>
      <c r="AX52" s="201"/>
      <c r="AY52" s="201"/>
      <c r="AZ52" s="201"/>
      <c r="BA52" s="201"/>
      <c r="BB52" s="354"/>
      <c r="BC52" s="282"/>
      <c r="BD52" s="282"/>
      <c r="BE52" s="557"/>
      <c r="BF52" s="549"/>
      <c r="BG52" s="549"/>
    </row>
    <row r="53" spans="1:59">
      <c r="A53" s="437"/>
      <c r="B53" s="439"/>
      <c r="C53" s="500"/>
      <c r="D53" s="507"/>
      <c r="E53" s="149"/>
      <c r="F53" s="149"/>
      <c r="G53" s="137"/>
      <c r="H53" s="137"/>
      <c r="I53" s="137"/>
      <c r="J53" s="495"/>
      <c r="K53" s="467"/>
      <c r="L53" s="478"/>
      <c r="M53" s="467"/>
      <c r="N53" s="497"/>
      <c r="O53" s="149"/>
      <c r="P53" s="137"/>
      <c r="Q53" s="137"/>
      <c r="R53" s="231"/>
      <c r="S53" s="208" t="str">
        <f t="shared" si="0"/>
        <v/>
      </c>
      <c r="T53" s="231"/>
      <c r="U53" s="208" t="str">
        <f t="shared" si="1"/>
        <v/>
      </c>
      <c r="V53" s="207"/>
      <c r="W53" s="208" t="str">
        <f t="shared" si="2"/>
        <v/>
      </c>
      <c r="X53" s="207"/>
      <c r="Y53" s="208" t="str">
        <f t="shared" si="3"/>
        <v/>
      </c>
      <c r="Z53" s="207"/>
      <c r="AA53" s="208" t="str">
        <f t="shared" si="4"/>
        <v/>
      </c>
      <c r="AB53" s="207"/>
      <c r="AC53" s="208" t="str">
        <f t="shared" si="5"/>
        <v/>
      </c>
      <c r="AD53" s="207"/>
      <c r="AE53" s="208" t="str">
        <f t="shared" si="6"/>
        <v/>
      </c>
      <c r="AF53" s="270" t="str">
        <f t="shared" si="7"/>
        <v/>
      </c>
      <c r="AG53" s="270" t="str">
        <f t="shared" si="8"/>
        <v/>
      </c>
      <c r="AH53" s="209"/>
      <c r="AI53" s="210" t="str">
        <f t="shared" si="9"/>
        <v>Débil</v>
      </c>
      <c r="AJ53" s="211" t="str">
        <f>IFERROR(VLOOKUP((CONCATENATE(AG53,AI53)),Listados!$U$3:$V$11,2,FALSE),"")</f>
        <v/>
      </c>
      <c r="AK53" s="270">
        <f t="shared" si="10"/>
        <v>100</v>
      </c>
      <c r="AL53" s="447"/>
      <c r="AM53" s="449"/>
      <c r="AN53" s="269">
        <f>+IF(AND(Q53="Preventivo",AM49="Fuerte"),2,IF(AND(Q53="Preventivo",AM49="Moderado"),1,0))</f>
        <v>0</v>
      </c>
      <c r="AO53" s="269">
        <f t="shared" si="29"/>
        <v>0</v>
      </c>
      <c r="AP53" s="212">
        <f>+K49-AN53</f>
        <v>4</v>
      </c>
      <c r="AQ53" s="212">
        <f>+M49-AO53</f>
        <v>3</v>
      </c>
      <c r="AR53" s="433"/>
      <c r="AS53" s="433"/>
      <c r="AT53" s="433"/>
      <c r="AU53" s="433"/>
      <c r="AV53" s="201"/>
      <c r="AW53" s="201"/>
      <c r="AX53" s="201"/>
      <c r="AY53" s="201"/>
      <c r="AZ53" s="201"/>
      <c r="BA53" s="201"/>
      <c r="BB53" s="354"/>
      <c r="BC53" s="282"/>
      <c r="BD53" s="282"/>
      <c r="BE53" s="557"/>
      <c r="BF53" s="549"/>
      <c r="BG53" s="549"/>
    </row>
    <row r="54" spans="1:59" ht="14.5" thickBot="1">
      <c r="A54" s="438"/>
      <c r="B54" s="439"/>
      <c r="C54" s="500"/>
      <c r="D54" s="507"/>
      <c r="E54" s="149"/>
      <c r="F54" s="149"/>
      <c r="G54" s="137"/>
      <c r="H54" s="137"/>
      <c r="I54" s="137"/>
      <c r="J54" s="495"/>
      <c r="K54" s="468"/>
      <c r="L54" s="478"/>
      <c r="M54" s="468"/>
      <c r="N54" s="497"/>
      <c r="O54" s="149"/>
      <c r="P54" s="137"/>
      <c r="Q54" s="137"/>
      <c r="R54" s="231"/>
      <c r="S54" s="208" t="str">
        <f t="shared" si="0"/>
        <v/>
      </c>
      <c r="T54" s="231"/>
      <c r="U54" s="208" t="str">
        <f t="shared" si="1"/>
        <v/>
      </c>
      <c r="V54" s="207"/>
      <c r="W54" s="208" t="str">
        <f t="shared" si="2"/>
        <v/>
      </c>
      <c r="X54" s="207"/>
      <c r="Y54" s="208" t="str">
        <f t="shared" si="3"/>
        <v/>
      </c>
      <c r="Z54" s="207"/>
      <c r="AA54" s="208" t="str">
        <f t="shared" si="4"/>
        <v/>
      </c>
      <c r="AB54" s="207"/>
      <c r="AC54" s="208" t="str">
        <f t="shared" si="5"/>
        <v/>
      </c>
      <c r="AD54" s="207"/>
      <c r="AE54" s="208" t="str">
        <f t="shared" si="6"/>
        <v/>
      </c>
      <c r="AF54" s="270" t="str">
        <f t="shared" si="7"/>
        <v/>
      </c>
      <c r="AG54" s="270" t="str">
        <f t="shared" si="8"/>
        <v/>
      </c>
      <c r="AH54" s="209"/>
      <c r="AI54" s="210" t="str">
        <f t="shared" si="9"/>
        <v>Débil</v>
      </c>
      <c r="AJ54" s="211" t="str">
        <f>IFERROR(VLOOKUP((CONCATENATE(AG54,AI54)),Listados!$U$3:$V$11,2,FALSE),"")</f>
        <v/>
      </c>
      <c r="AK54" s="270">
        <f t="shared" si="10"/>
        <v>100</v>
      </c>
      <c r="AL54" s="448"/>
      <c r="AM54" s="449"/>
      <c r="AN54" s="269">
        <f>+IF(AND(Q54="Preventivo",AM49="Fuerte"),2,IF(AND(Q54="Preventivo",AM49="Moderado"),1,0))</f>
        <v>0</v>
      </c>
      <c r="AO54" s="269">
        <f t="shared" si="29"/>
        <v>0</v>
      </c>
      <c r="AP54" s="212">
        <f>+K49-AN54</f>
        <v>4</v>
      </c>
      <c r="AQ54" s="212">
        <f>+M49-AO54</f>
        <v>3</v>
      </c>
      <c r="AR54" s="434"/>
      <c r="AS54" s="434"/>
      <c r="AT54" s="434"/>
      <c r="AU54" s="434"/>
      <c r="AV54" s="201"/>
      <c r="AW54" s="201"/>
      <c r="AX54" s="201"/>
      <c r="AY54" s="201"/>
      <c r="AZ54" s="201"/>
      <c r="BA54" s="201"/>
      <c r="BB54" s="354"/>
      <c r="BC54" s="282"/>
      <c r="BD54" s="282"/>
      <c r="BE54" s="558"/>
      <c r="BF54" s="550"/>
      <c r="BG54" s="550"/>
    </row>
    <row r="55" spans="1:59" ht="112">
      <c r="A55" s="436">
        <v>9</v>
      </c>
      <c r="B55" s="439" t="s">
        <v>39</v>
      </c>
      <c r="C55" s="500" t="str">
        <f>IFERROR(VLOOKUP(B55,Listados!B$3:C$20,2,FALSE),"")</f>
        <v>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v>
      </c>
      <c r="D55" s="502" t="s">
        <v>1301</v>
      </c>
      <c r="E55" s="245" t="s">
        <v>52</v>
      </c>
      <c r="F55" s="245" t="s">
        <v>189</v>
      </c>
      <c r="G55" s="229" t="s">
        <v>1302</v>
      </c>
      <c r="H55" s="229" t="s">
        <v>16</v>
      </c>
      <c r="I55" s="229" t="s">
        <v>233</v>
      </c>
      <c r="J55" s="495" t="s">
        <v>63</v>
      </c>
      <c r="K55" s="466">
        <f>+VLOOKUP(J55,Listados!$K$8:$L$12,2,0)</f>
        <v>5</v>
      </c>
      <c r="L55" s="477" t="s">
        <v>54</v>
      </c>
      <c r="M55" s="466">
        <f>+VLOOKUP(L55,Listados!$K$13:$L$17,2,0)</f>
        <v>4</v>
      </c>
      <c r="N55" s="496" t="str">
        <f>IF(AND(J55&lt;&gt;"",L55&lt;&gt;""),VLOOKUP(J55&amp;L55,Listados!$M$3:$N$27,2,FALSE),"")</f>
        <v>Extremo</v>
      </c>
      <c r="O55" s="245" t="s">
        <v>234</v>
      </c>
      <c r="P55" s="245" t="s">
        <v>232</v>
      </c>
      <c r="Q55" s="137" t="s">
        <v>123</v>
      </c>
      <c r="R55" s="207" t="s">
        <v>116</v>
      </c>
      <c r="S55" s="208">
        <f t="shared" ref="S55:S60" si="42">+IF(R55="si",15,"")</f>
        <v>15</v>
      </c>
      <c r="T55" s="207" t="s">
        <v>257</v>
      </c>
      <c r="U55" s="208">
        <f t="shared" ref="U55:U60" si="43">+IF(T55="si",15,"")</f>
        <v>15</v>
      </c>
      <c r="V55" s="207" t="s">
        <v>257</v>
      </c>
      <c r="W55" s="208">
        <f t="shared" ref="W55:W60" si="44">+IF(V55="si",15,"")</f>
        <v>15</v>
      </c>
      <c r="X55" s="207" t="s">
        <v>20</v>
      </c>
      <c r="Y55" s="208">
        <f t="shared" ref="Y55:Y60" si="45">+IF(X55="Preventivo",15,IF(X55="Detectivo",10,""))</f>
        <v>15</v>
      </c>
      <c r="Z55" s="207" t="s">
        <v>257</v>
      </c>
      <c r="AA55" s="208">
        <f t="shared" ref="AA55:AA60" si="46">+IF(Z55="si",15,"")</f>
        <v>15</v>
      </c>
      <c r="AB55" s="207" t="s">
        <v>257</v>
      </c>
      <c r="AC55" s="208">
        <f t="shared" ref="AC55:AC60" si="47">+IF(AB55="si",15,"")</f>
        <v>15</v>
      </c>
      <c r="AD55" s="207" t="s">
        <v>117</v>
      </c>
      <c r="AE55" s="208">
        <f t="shared" si="6"/>
        <v>10</v>
      </c>
      <c r="AF55" s="270">
        <f t="shared" si="7"/>
        <v>100</v>
      </c>
      <c r="AG55" s="270" t="str">
        <f t="shared" si="8"/>
        <v>Fuerte</v>
      </c>
      <c r="AH55" s="209" t="s">
        <v>118</v>
      </c>
      <c r="AI55" s="210" t="str">
        <f t="shared" si="9"/>
        <v>Fuerte</v>
      </c>
      <c r="AJ55" s="211" t="str">
        <f>IFERROR(VLOOKUP((CONCATENATE(AG55,AI55)),Listados!$U$3:$V$11,2,FALSE),"")</f>
        <v>Fuerte</v>
      </c>
      <c r="AK55" s="270">
        <f t="shared" si="10"/>
        <v>100</v>
      </c>
      <c r="AL55" s="446">
        <f>AVERAGE(AK55:AK60)</f>
        <v>91.666666666666671</v>
      </c>
      <c r="AM55" s="448" t="str">
        <f>IF(AL55&lt;=50, "Débil", IF(AL55&lt;=99,"Moderado","Fuerte"))</f>
        <v>Moderado</v>
      </c>
      <c r="AN55" s="269">
        <f>+IF(AND(Q55="Preventivo",AM55="Fuerte"),2,IF(AND(Q55="Preventivo",AM55="Moderado"),1,0))</f>
        <v>0</v>
      </c>
      <c r="AO55" s="269">
        <f t="shared" si="29"/>
        <v>0</v>
      </c>
      <c r="AP55" s="212">
        <f>+K55-AN55</f>
        <v>5</v>
      </c>
      <c r="AQ55" s="212">
        <f>+M55-AO55</f>
        <v>4</v>
      </c>
      <c r="AR55" s="435" t="str">
        <f>+VLOOKUP(MIN(AP55,AP56,AP57,AP58,AP59,AP60),Listados!$J$18:$K$24,2,TRUE)</f>
        <v>Probable</v>
      </c>
      <c r="AS55" s="435" t="str">
        <f>+VLOOKUP(MIN(AQ55,AQ56,AQ57,AQ58,AQ59,AQ60),Listados!$J$27:$K$32,2,TRUE)</f>
        <v>Mayor</v>
      </c>
      <c r="AT55" s="435" t="str">
        <f>IF(AND(AR55&lt;&gt;"",AS55&lt;&gt;""),VLOOKUP(AR55&amp;AS55,Listados!$M$3:$N$27,2,FALSE),"")</f>
        <v>Extremo</v>
      </c>
      <c r="AU55" s="435" t="str">
        <f>+VLOOKUP(AT55,Listados!$P$3:$Q$6,2,FALSE)</f>
        <v>Evitar el riesgo</v>
      </c>
      <c r="AV55" s="245" t="s">
        <v>1100</v>
      </c>
      <c r="AW55" s="245" t="s">
        <v>1101</v>
      </c>
      <c r="AX55" s="246">
        <v>44927</v>
      </c>
      <c r="AY55" s="246">
        <v>45291</v>
      </c>
      <c r="AZ55" s="245" t="s">
        <v>1102</v>
      </c>
      <c r="BA55" s="245" t="s">
        <v>1103</v>
      </c>
      <c r="BB55" s="366" t="s">
        <v>1418</v>
      </c>
      <c r="BC55" s="245" t="s">
        <v>1734</v>
      </c>
      <c r="BD55" s="202"/>
      <c r="BE55" s="556" t="s">
        <v>1551</v>
      </c>
      <c r="BF55" s="559" t="s">
        <v>1804</v>
      </c>
      <c r="BG55" s="559"/>
    </row>
    <row r="56" spans="1:59" ht="98">
      <c r="A56" s="437"/>
      <c r="B56" s="439"/>
      <c r="C56" s="500"/>
      <c r="D56" s="502"/>
      <c r="E56" s="245"/>
      <c r="F56" s="245"/>
      <c r="G56" s="229" t="s">
        <v>235</v>
      </c>
      <c r="H56" s="229" t="s">
        <v>16</v>
      </c>
      <c r="I56" s="229" t="s">
        <v>236</v>
      </c>
      <c r="J56" s="495"/>
      <c r="K56" s="467"/>
      <c r="L56" s="478"/>
      <c r="M56" s="467"/>
      <c r="N56" s="497"/>
      <c r="O56" s="202" t="s">
        <v>237</v>
      </c>
      <c r="P56" s="245" t="s">
        <v>235</v>
      </c>
      <c r="Q56" s="137" t="s">
        <v>20</v>
      </c>
      <c r="R56" s="207" t="s">
        <v>116</v>
      </c>
      <c r="S56" s="208">
        <f t="shared" si="42"/>
        <v>15</v>
      </c>
      <c r="T56" s="207" t="s">
        <v>257</v>
      </c>
      <c r="U56" s="208">
        <f t="shared" si="43"/>
        <v>15</v>
      </c>
      <c r="V56" s="207" t="s">
        <v>257</v>
      </c>
      <c r="W56" s="208">
        <f t="shared" si="44"/>
        <v>15</v>
      </c>
      <c r="X56" s="207" t="s">
        <v>20</v>
      </c>
      <c r="Y56" s="208">
        <f t="shared" si="45"/>
        <v>15</v>
      </c>
      <c r="Z56" s="207" t="s">
        <v>257</v>
      </c>
      <c r="AA56" s="208">
        <f t="shared" si="46"/>
        <v>15</v>
      </c>
      <c r="AB56" s="207" t="s">
        <v>257</v>
      </c>
      <c r="AC56" s="208">
        <f t="shared" si="47"/>
        <v>15</v>
      </c>
      <c r="AD56" s="207" t="s">
        <v>117</v>
      </c>
      <c r="AE56" s="208">
        <f t="shared" si="6"/>
        <v>10</v>
      </c>
      <c r="AF56" s="270">
        <f t="shared" si="7"/>
        <v>100</v>
      </c>
      <c r="AG56" s="270" t="str">
        <f t="shared" si="8"/>
        <v>Fuerte</v>
      </c>
      <c r="AH56" s="209" t="s">
        <v>118</v>
      </c>
      <c r="AI56" s="210" t="str">
        <f t="shared" si="9"/>
        <v>Fuerte</v>
      </c>
      <c r="AJ56" s="211" t="str">
        <f>IFERROR(VLOOKUP((CONCATENATE(AG56,AI56)),Listados!$U$3:$V$11,2,FALSE),"")</f>
        <v>Fuerte</v>
      </c>
      <c r="AK56" s="270">
        <f t="shared" si="10"/>
        <v>100</v>
      </c>
      <c r="AL56" s="447"/>
      <c r="AM56" s="449"/>
      <c r="AN56" s="269">
        <f>+IF(AND(Q56="Preventivo",AM55="Fuerte"),2,IF(AND(Q56="Preventivo",AM55="Moderado"),1,0))</f>
        <v>1</v>
      </c>
      <c r="AO56" s="269">
        <f t="shared" si="29"/>
        <v>0</v>
      </c>
      <c r="AP56" s="212">
        <f>+K55-AN56</f>
        <v>4</v>
      </c>
      <c r="AQ56" s="212">
        <f>+M55-AO56</f>
        <v>4</v>
      </c>
      <c r="AR56" s="433"/>
      <c r="AS56" s="433"/>
      <c r="AT56" s="433"/>
      <c r="AU56" s="433"/>
      <c r="AV56" s="245" t="s">
        <v>1104</v>
      </c>
      <c r="AW56" s="245" t="s">
        <v>1105</v>
      </c>
      <c r="AX56" s="246">
        <v>44927</v>
      </c>
      <c r="AY56" s="246">
        <v>45291</v>
      </c>
      <c r="AZ56" s="245" t="s">
        <v>1102</v>
      </c>
      <c r="BA56" s="245" t="s">
        <v>1103</v>
      </c>
      <c r="BB56" s="366" t="s">
        <v>1419</v>
      </c>
      <c r="BC56" s="245" t="s">
        <v>1734</v>
      </c>
      <c r="BD56" s="202"/>
      <c r="BE56" s="557"/>
      <c r="BF56" s="549"/>
      <c r="BG56" s="549"/>
    </row>
    <row r="57" spans="1:59" ht="126">
      <c r="A57" s="437"/>
      <c r="B57" s="439"/>
      <c r="C57" s="500"/>
      <c r="D57" s="502"/>
      <c r="E57" s="245"/>
      <c r="F57" s="245"/>
      <c r="G57" s="229" t="s">
        <v>238</v>
      </c>
      <c r="H57" s="229" t="s">
        <v>16</v>
      </c>
      <c r="I57" s="229" t="s">
        <v>239</v>
      </c>
      <c r="J57" s="495"/>
      <c r="K57" s="467"/>
      <c r="L57" s="478"/>
      <c r="M57" s="467"/>
      <c r="N57" s="497"/>
      <c r="O57" s="245" t="s">
        <v>240</v>
      </c>
      <c r="P57" s="245" t="s">
        <v>241</v>
      </c>
      <c r="Q57" s="137" t="s">
        <v>123</v>
      </c>
      <c r="R57" s="207" t="s">
        <v>116</v>
      </c>
      <c r="S57" s="208">
        <f t="shared" si="42"/>
        <v>15</v>
      </c>
      <c r="T57" s="207" t="s">
        <v>257</v>
      </c>
      <c r="U57" s="208">
        <f t="shared" si="43"/>
        <v>15</v>
      </c>
      <c r="V57" s="207" t="s">
        <v>257</v>
      </c>
      <c r="W57" s="208">
        <f t="shared" si="44"/>
        <v>15</v>
      </c>
      <c r="X57" s="207" t="s">
        <v>20</v>
      </c>
      <c r="Y57" s="208">
        <f t="shared" si="45"/>
        <v>15</v>
      </c>
      <c r="Z57" s="207" t="s">
        <v>257</v>
      </c>
      <c r="AA57" s="208">
        <f t="shared" si="46"/>
        <v>15</v>
      </c>
      <c r="AB57" s="207" t="s">
        <v>257</v>
      </c>
      <c r="AC57" s="208">
        <f t="shared" si="47"/>
        <v>15</v>
      </c>
      <c r="AD57" s="207" t="s">
        <v>117</v>
      </c>
      <c r="AE57" s="208">
        <f t="shared" si="6"/>
        <v>10</v>
      </c>
      <c r="AF57" s="270">
        <f t="shared" si="7"/>
        <v>100</v>
      </c>
      <c r="AG57" s="270" t="str">
        <f t="shared" si="8"/>
        <v>Fuerte</v>
      </c>
      <c r="AH57" s="209" t="s">
        <v>118</v>
      </c>
      <c r="AI57" s="210" t="str">
        <f t="shared" si="9"/>
        <v>Fuerte</v>
      </c>
      <c r="AJ57" s="211" t="str">
        <f>IFERROR(VLOOKUP((CONCATENATE(AG57,AI57)),Listados!$U$3:$V$11,2,FALSE),"")</f>
        <v>Fuerte</v>
      </c>
      <c r="AK57" s="270">
        <f t="shared" si="10"/>
        <v>100</v>
      </c>
      <c r="AL57" s="447"/>
      <c r="AM57" s="449"/>
      <c r="AN57" s="269">
        <f>+IF(AND(Q57="Preventivo",AM55="Fuerte"),2,IF(AND(Q57="Preventivo",AM55="Moderado"),1,0))</f>
        <v>0</v>
      </c>
      <c r="AO57" s="269">
        <f t="shared" si="29"/>
        <v>0</v>
      </c>
      <c r="AP57" s="212">
        <f>+K55-AN57</f>
        <v>5</v>
      </c>
      <c r="AQ57" s="212">
        <f>+M55-AO57</f>
        <v>4</v>
      </c>
      <c r="AR57" s="433"/>
      <c r="AS57" s="433"/>
      <c r="AT57" s="433"/>
      <c r="AU57" s="433"/>
      <c r="AV57" s="245" t="s">
        <v>1106</v>
      </c>
      <c r="AW57" s="245" t="s">
        <v>1107</v>
      </c>
      <c r="AX57" s="246">
        <v>44927</v>
      </c>
      <c r="AY57" s="246">
        <v>45291</v>
      </c>
      <c r="AZ57" s="245" t="s">
        <v>1108</v>
      </c>
      <c r="BA57" s="245" t="s">
        <v>1109</v>
      </c>
      <c r="BB57" s="366" t="s">
        <v>1420</v>
      </c>
      <c r="BC57" s="245" t="s">
        <v>1735</v>
      </c>
      <c r="BD57" s="202"/>
      <c r="BE57" s="557"/>
      <c r="BF57" s="549"/>
      <c r="BG57" s="549"/>
    </row>
    <row r="58" spans="1:59" ht="98">
      <c r="A58" s="437"/>
      <c r="B58" s="439"/>
      <c r="C58" s="500"/>
      <c r="D58" s="502"/>
      <c r="E58" s="245"/>
      <c r="F58" s="245"/>
      <c r="G58" s="229" t="s">
        <v>242</v>
      </c>
      <c r="H58" s="229" t="s">
        <v>16</v>
      </c>
      <c r="I58" s="229" t="s">
        <v>243</v>
      </c>
      <c r="J58" s="495"/>
      <c r="K58" s="467"/>
      <c r="L58" s="478"/>
      <c r="M58" s="467"/>
      <c r="N58" s="497"/>
      <c r="O58" s="245" t="s">
        <v>1413</v>
      </c>
      <c r="P58" s="245" t="s">
        <v>244</v>
      </c>
      <c r="Q58" s="137" t="s">
        <v>20</v>
      </c>
      <c r="R58" s="207" t="s">
        <v>116</v>
      </c>
      <c r="S58" s="208">
        <f t="shared" si="42"/>
        <v>15</v>
      </c>
      <c r="T58" s="207" t="s">
        <v>257</v>
      </c>
      <c r="U58" s="208">
        <f t="shared" si="43"/>
        <v>15</v>
      </c>
      <c r="V58" s="207" t="s">
        <v>257</v>
      </c>
      <c r="W58" s="208">
        <f t="shared" si="44"/>
        <v>15</v>
      </c>
      <c r="X58" s="207" t="s">
        <v>20</v>
      </c>
      <c r="Y58" s="208">
        <f t="shared" si="45"/>
        <v>15</v>
      </c>
      <c r="Z58" s="207" t="s">
        <v>257</v>
      </c>
      <c r="AA58" s="208">
        <f t="shared" si="46"/>
        <v>15</v>
      </c>
      <c r="AB58" s="207" t="s">
        <v>257</v>
      </c>
      <c r="AC58" s="208">
        <f t="shared" si="47"/>
        <v>15</v>
      </c>
      <c r="AD58" s="207" t="s">
        <v>117</v>
      </c>
      <c r="AE58" s="208">
        <f t="shared" si="6"/>
        <v>10</v>
      </c>
      <c r="AF58" s="270">
        <f t="shared" si="7"/>
        <v>100</v>
      </c>
      <c r="AG58" s="270" t="str">
        <f t="shared" si="8"/>
        <v>Fuerte</v>
      </c>
      <c r="AH58" s="209" t="s">
        <v>118</v>
      </c>
      <c r="AI58" s="210" t="str">
        <f t="shared" si="9"/>
        <v>Fuerte</v>
      </c>
      <c r="AJ58" s="211" t="str">
        <f>IFERROR(VLOOKUP((CONCATENATE(AG58,AI58)),Listados!$U$3:$V$11,2,FALSE),"")</f>
        <v>Fuerte</v>
      </c>
      <c r="AK58" s="270">
        <f t="shared" si="10"/>
        <v>100</v>
      </c>
      <c r="AL58" s="447"/>
      <c r="AM58" s="449"/>
      <c r="AN58" s="269">
        <f>+IF(AND(Q58="Preventivo",AM55="Fuerte"),2,IF(AND(Q58="Preventivo",AM55="Moderado"),1,0))</f>
        <v>1</v>
      </c>
      <c r="AO58" s="269">
        <f t="shared" si="29"/>
        <v>0</v>
      </c>
      <c r="AP58" s="212">
        <f>+K55-AN58</f>
        <v>4</v>
      </c>
      <c r="AQ58" s="212">
        <f>+M55-AO58</f>
        <v>4</v>
      </c>
      <c r="AR58" s="433"/>
      <c r="AS58" s="433"/>
      <c r="AT58" s="433"/>
      <c r="AU58" s="433"/>
      <c r="AV58" s="245" t="s">
        <v>1415</v>
      </c>
      <c r="AW58" s="245" t="s">
        <v>1110</v>
      </c>
      <c r="AX58" s="246">
        <v>44927</v>
      </c>
      <c r="AY58" s="246">
        <v>45291</v>
      </c>
      <c r="AZ58" s="245" t="s">
        <v>1111</v>
      </c>
      <c r="BA58" s="245" t="s">
        <v>1112</v>
      </c>
      <c r="BB58" s="366" t="s">
        <v>1421</v>
      </c>
      <c r="BC58" s="245" t="s">
        <v>1736</v>
      </c>
      <c r="BD58" s="202"/>
      <c r="BE58" s="557"/>
      <c r="BF58" s="549"/>
      <c r="BG58" s="549"/>
    </row>
    <row r="59" spans="1:59" ht="112">
      <c r="A59" s="437"/>
      <c r="B59" s="439"/>
      <c r="C59" s="500"/>
      <c r="D59" s="502"/>
      <c r="E59" s="245"/>
      <c r="F59" s="245"/>
      <c r="G59" s="229" t="s">
        <v>245</v>
      </c>
      <c r="H59" s="229" t="s">
        <v>16</v>
      </c>
      <c r="I59" s="230" t="s">
        <v>246</v>
      </c>
      <c r="J59" s="495"/>
      <c r="K59" s="467"/>
      <c r="L59" s="478"/>
      <c r="M59" s="467"/>
      <c r="N59" s="497"/>
      <c r="O59" s="245" t="s">
        <v>1414</v>
      </c>
      <c r="P59" s="229" t="s">
        <v>245</v>
      </c>
      <c r="Q59" s="137" t="s">
        <v>20</v>
      </c>
      <c r="R59" s="207" t="s">
        <v>116</v>
      </c>
      <c r="S59" s="208">
        <f t="shared" si="42"/>
        <v>15</v>
      </c>
      <c r="T59" s="207" t="s">
        <v>257</v>
      </c>
      <c r="U59" s="208">
        <f t="shared" si="43"/>
        <v>15</v>
      </c>
      <c r="V59" s="207" t="s">
        <v>257</v>
      </c>
      <c r="W59" s="208">
        <f t="shared" si="44"/>
        <v>15</v>
      </c>
      <c r="X59" s="207" t="s">
        <v>20</v>
      </c>
      <c r="Y59" s="208">
        <f t="shared" si="45"/>
        <v>15</v>
      </c>
      <c r="Z59" s="207" t="s">
        <v>257</v>
      </c>
      <c r="AA59" s="208">
        <f t="shared" si="46"/>
        <v>15</v>
      </c>
      <c r="AB59" s="207" t="s">
        <v>257</v>
      </c>
      <c r="AC59" s="208">
        <f t="shared" si="47"/>
        <v>15</v>
      </c>
      <c r="AD59" s="207" t="s">
        <v>117</v>
      </c>
      <c r="AE59" s="208">
        <f t="shared" si="6"/>
        <v>10</v>
      </c>
      <c r="AF59" s="270">
        <f t="shared" si="7"/>
        <v>100</v>
      </c>
      <c r="AG59" s="270" t="str">
        <f t="shared" si="8"/>
        <v>Fuerte</v>
      </c>
      <c r="AH59" s="209" t="s">
        <v>118</v>
      </c>
      <c r="AI59" s="210" t="str">
        <f t="shared" si="9"/>
        <v>Fuerte</v>
      </c>
      <c r="AJ59" s="211" t="str">
        <f>IFERROR(VLOOKUP((CONCATENATE(AG59,AI59)),Listados!$U$3:$V$11,2,FALSE),"")</f>
        <v>Fuerte</v>
      </c>
      <c r="AK59" s="270">
        <f t="shared" si="10"/>
        <v>100</v>
      </c>
      <c r="AL59" s="447"/>
      <c r="AM59" s="449"/>
      <c r="AN59" s="269">
        <f>+IF(AND(Q59="Preventivo",AM55="Fuerte"),2,IF(AND(Q59="Preventivo",AM55="Moderado"),1,0))</f>
        <v>1</v>
      </c>
      <c r="AO59" s="269">
        <f t="shared" si="29"/>
        <v>0</v>
      </c>
      <c r="AP59" s="212">
        <f>+K55-AN59</f>
        <v>4</v>
      </c>
      <c r="AQ59" s="212">
        <f>+M55-AO59</f>
        <v>4</v>
      </c>
      <c r="AR59" s="433"/>
      <c r="AS59" s="433"/>
      <c r="AT59" s="433"/>
      <c r="AU59" s="433"/>
      <c r="AV59" s="245" t="s">
        <v>1416</v>
      </c>
      <c r="AW59" s="245" t="s">
        <v>1417</v>
      </c>
      <c r="AX59" s="246">
        <v>44927</v>
      </c>
      <c r="AY59" s="246">
        <v>45291</v>
      </c>
      <c r="AZ59" s="245" t="s">
        <v>1111</v>
      </c>
      <c r="BA59" s="245" t="s">
        <v>1114</v>
      </c>
      <c r="BB59" s="366" t="s">
        <v>1422</v>
      </c>
      <c r="BC59" s="245" t="s">
        <v>1737</v>
      </c>
      <c r="BD59" s="202"/>
      <c r="BE59" s="557"/>
      <c r="BF59" s="549"/>
      <c r="BG59" s="549"/>
    </row>
    <row r="60" spans="1:59" ht="112.5" thickBot="1">
      <c r="A60" s="438"/>
      <c r="B60" s="439"/>
      <c r="C60" s="500"/>
      <c r="D60" s="502"/>
      <c r="E60" s="149"/>
      <c r="F60" s="149"/>
      <c r="G60" s="137"/>
      <c r="H60" s="137"/>
      <c r="I60" s="137"/>
      <c r="J60" s="495"/>
      <c r="K60" s="468"/>
      <c r="L60" s="478"/>
      <c r="M60" s="468"/>
      <c r="N60" s="497"/>
      <c r="O60" s="245" t="s">
        <v>247</v>
      </c>
      <c r="P60" s="229" t="s">
        <v>245</v>
      </c>
      <c r="Q60" s="137" t="s">
        <v>123</v>
      </c>
      <c r="R60" s="207" t="s">
        <v>116</v>
      </c>
      <c r="S60" s="208">
        <f t="shared" si="42"/>
        <v>15</v>
      </c>
      <c r="T60" s="207" t="s">
        <v>257</v>
      </c>
      <c r="U60" s="208">
        <f t="shared" si="43"/>
        <v>15</v>
      </c>
      <c r="V60" s="207" t="s">
        <v>257</v>
      </c>
      <c r="W60" s="208">
        <f t="shared" si="44"/>
        <v>15</v>
      </c>
      <c r="X60" s="207" t="s">
        <v>123</v>
      </c>
      <c r="Y60" s="208">
        <f t="shared" si="45"/>
        <v>10</v>
      </c>
      <c r="Z60" s="207" t="s">
        <v>257</v>
      </c>
      <c r="AA60" s="208">
        <f t="shared" si="46"/>
        <v>15</v>
      </c>
      <c r="AB60" s="207" t="s">
        <v>257</v>
      </c>
      <c r="AC60" s="208">
        <f t="shared" si="47"/>
        <v>15</v>
      </c>
      <c r="AD60" s="207" t="s">
        <v>117</v>
      </c>
      <c r="AE60" s="208">
        <f t="shared" si="6"/>
        <v>10</v>
      </c>
      <c r="AF60" s="270">
        <f t="shared" si="7"/>
        <v>95</v>
      </c>
      <c r="AG60" s="270" t="str">
        <f t="shared" si="8"/>
        <v>Moderado</v>
      </c>
      <c r="AH60" s="209" t="s">
        <v>118</v>
      </c>
      <c r="AI60" s="210" t="str">
        <f t="shared" si="9"/>
        <v>Fuerte</v>
      </c>
      <c r="AJ60" s="211" t="str">
        <f>IFERROR(VLOOKUP((CONCATENATE(AG60,AI60)),Listados!$U$3:$V$11,2,FALSE),"")</f>
        <v>Moderado</v>
      </c>
      <c r="AK60" s="270">
        <f t="shared" si="10"/>
        <v>50</v>
      </c>
      <c r="AL60" s="448"/>
      <c r="AM60" s="449"/>
      <c r="AN60" s="269">
        <f>+IF(AND(Q60="Preventivo",AM55="Fuerte"),2,IF(AND(Q60="Preventivo",AM55="Moderado"),1,0))</f>
        <v>0</v>
      </c>
      <c r="AO60" s="269">
        <f t="shared" si="29"/>
        <v>0</v>
      </c>
      <c r="AP60" s="212">
        <f>+K55-AN60</f>
        <v>5</v>
      </c>
      <c r="AQ60" s="212">
        <f>+M55-AO60</f>
        <v>4</v>
      </c>
      <c r="AR60" s="434"/>
      <c r="AS60" s="434"/>
      <c r="AT60" s="434"/>
      <c r="AU60" s="434"/>
      <c r="AV60" s="245" t="s">
        <v>1115</v>
      </c>
      <c r="AW60" s="245" t="s">
        <v>1116</v>
      </c>
      <c r="AX60" s="246">
        <v>44927</v>
      </c>
      <c r="AY60" s="246">
        <v>45291</v>
      </c>
      <c r="AZ60" s="245" t="s">
        <v>1117</v>
      </c>
      <c r="BA60" s="245" t="s">
        <v>1118</v>
      </c>
      <c r="BB60" s="366" t="s">
        <v>1423</v>
      </c>
      <c r="BC60" s="245" t="s">
        <v>1736</v>
      </c>
      <c r="BD60" s="202"/>
      <c r="BE60" s="558"/>
      <c r="BF60" s="550"/>
      <c r="BG60" s="550"/>
    </row>
    <row r="61" spans="1:59" ht="70">
      <c r="A61" s="436">
        <v>10</v>
      </c>
      <c r="B61" s="439" t="s">
        <v>79</v>
      </c>
      <c r="C61" s="500" t="str">
        <f>IFERROR(VLOOKUP(B61,Listados!B$3:C$20,2,FALSE),"")</f>
        <v>Fortalecer el Principio Constitucional de Seguridad Jurídica mediante la defensa del Ordenamiento Jurídico, la formulación de lineamientos o metodologías para desarrollar procesos de depuración del Ordenamiento Jurídico y la divulgación normativa a través de la administración funcional del sistema SUIN-JURISCOL.</v>
      </c>
      <c r="D61" s="502" t="s">
        <v>1660</v>
      </c>
      <c r="E61" s="245" t="s">
        <v>1272</v>
      </c>
      <c r="F61" s="245" t="s">
        <v>177</v>
      </c>
      <c r="G61" s="229" t="s">
        <v>248</v>
      </c>
      <c r="H61" s="229" t="s">
        <v>16</v>
      </c>
      <c r="I61" s="229" t="s">
        <v>249</v>
      </c>
      <c r="J61" s="495" t="s">
        <v>21</v>
      </c>
      <c r="K61" s="466">
        <f>+VLOOKUP(J61,Listados!$K$8:$L$12,2,0)</f>
        <v>1</v>
      </c>
      <c r="L61" s="477" t="s">
        <v>36</v>
      </c>
      <c r="M61" s="466">
        <f>+VLOOKUP(L61,Listados!$K$13:$L$17,2,0)</f>
        <v>3</v>
      </c>
      <c r="N61" s="496" t="str">
        <f>IF(AND(J61&lt;&gt;"",L61&lt;&gt;""),VLOOKUP(J61&amp;L61,Listados!$M$3:$N$27,2,FALSE),"")</f>
        <v>Moderado</v>
      </c>
      <c r="O61" s="149" t="s">
        <v>1661</v>
      </c>
      <c r="P61" s="245" t="s">
        <v>248</v>
      </c>
      <c r="Q61" s="137" t="s">
        <v>123</v>
      </c>
      <c r="R61" s="207" t="s">
        <v>116</v>
      </c>
      <c r="S61" s="208">
        <f t="shared" ref="S61:S64" si="48">+IF(R61="si",15,"")</f>
        <v>15</v>
      </c>
      <c r="T61" s="207" t="s">
        <v>257</v>
      </c>
      <c r="U61" s="208">
        <f t="shared" ref="U61:U64" si="49">+IF(T61="si",15,"")</f>
        <v>15</v>
      </c>
      <c r="V61" s="207" t="s">
        <v>257</v>
      </c>
      <c r="W61" s="208">
        <f t="shared" ref="W61:W64" si="50">+IF(V61="si",15,"")</f>
        <v>15</v>
      </c>
      <c r="X61" s="207" t="s">
        <v>20</v>
      </c>
      <c r="Y61" s="208">
        <f t="shared" ref="Y61:Y64" si="51">+IF(X61="Preventivo",15,IF(X61="Detectivo",10,""))</f>
        <v>15</v>
      </c>
      <c r="Z61" s="207" t="s">
        <v>257</v>
      </c>
      <c r="AA61" s="208">
        <f t="shared" ref="AA61:AA64" si="52">+IF(Z61="si",15,"")</f>
        <v>15</v>
      </c>
      <c r="AB61" s="207" t="s">
        <v>257</v>
      </c>
      <c r="AC61" s="208">
        <f t="shared" ref="AC61:AC64" si="53">+IF(AB61="si",15,"")</f>
        <v>15</v>
      </c>
      <c r="AD61" s="207" t="s">
        <v>117</v>
      </c>
      <c r="AE61" s="208">
        <f t="shared" si="6"/>
        <v>10</v>
      </c>
      <c r="AF61" s="270">
        <f t="shared" si="7"/>
        <v>100</v>
      </c>
      <c r="AG61" s="270" t="str">
        <f t="shared" si="8"/>
        <v>Fuerte</v>
      </c>
      <c r="AH61" s="209" t="s">
        <v>118</v>
      </c>
      <c r="AI61" s="210" t="str">
        <f t="shared" si="9"/>
        <v>Fuerte</v>
      </c>
      <c r="AJ61" s="211" t="str">
        <f>IFERROR(VLOOKUP((CONCATENATE(AG61,AI61)),Listados!$U$3:$V$11,2,FALSE),"")</f>
        <v>Fuerte</v>
      </c>
      <c r="AK61" s="270">
        <f t="shared" si="10"/>
        <v>100</v>
      </c>
      <c r="AL61" s="446">
        <f>AVERAGE(AK61:AK66)</f>
        <v>100</v>
      </c>
      <c r="AM61" s="448" t="str">
        <f>IF(AL61&lt;=50, "Débil", IF(AL61&lt;=99,"Moderado","Fuerte"))</f>
        <v>Fuerte</v>
      </c>
      <c r="AN61" s="269">
        <f>+IF(AND(Q61="Preventivo",AM61="Fuerte"),2,IF(AND(Q61="Preventivo",AM61="Moderado"),1,0))</f>
        <v>0</v>
      </c>
      <c r="AO61" s="269">
        <f t="shared" si="29"/>
        <v>0</v>
      </c>
      <c r="AP61" s="212">
        <f>+K61-AN61</f>
        <v>1</v>
      </c>
      <c r="AQ61" s="212">
        <f>+M61-AO61</f>
        <v>3</v>
      </c>
      <c r="AR61" s="435" t="str">
        <f>+VLOOKUP(MIN(AP61,AP62,AP63,AP64,AP65,AP66),Listados!$J$18:$K$24,2,TRUE)</f>
        <v>Rara Vez</v>
      </c>
      <c r="AS61" s="435" t="str">
        <f>+VLOOKUP(MIN(AQ61,AQ62,AQ63,AQ64,AQ65,AQ66),Listados!$J$27:$K$32,2,TRUE)</f>
        <v>Moderado</v>
      </c>
      <c r="AT61" s="435" t="str">
        <f>IF(AND(AR61&lt;&gt;"",AS61&lt;&gt;""),VLOOKUP(AR61&amp;AS61,Listados!$M$3:$N$27,2,FALSE),"")</f>
        <v>Moderado</v>
      </c>
      <c r="AU61" s="435" t="str">
        <f>+VLOOKUP(AT61,Listados!$P$3:$Q$6,2,FALSE)</f>
        <v xml:space="preserve"> Reducir el riesgo</v>
      </c>
      <c r="AV61" s="583" t="s">
        <v>1192</v>
      </c>
      <c r="AW61" s="576" t="s">
        <v>1193</v>
      </c>
      <c r="AX61" s="577">
        <v>44927</v>
      </c>
      <c r="AY61" s="577">
        <v>45291</v>
      </c>
      <c r="AZ61" s="576" t="s">
        <v>1194</v>
      </c>
      <c r="BA61" s="576" t="s">
        <v>1195</v>
      </c>
      <c r="BB61" s="580" t="s">
        <v>1424</v>
      </c>
      <c r="BC61" s="576" t="s">
        <v>1682</v>
      </c>
      <c r="BD61" s="576"/>
      <c r="BE61" s="573" t="s">
        <v>1513</v>
      </c>
      <c r="BF61" s="576" t="s">
        <v>1805</v>
      </c>
      <c r="BG61" s="576"/>
    </row>
    <row r="62" spans="1:59" ht="56">
      <c r="A62" s="437"/>
      <c r="B62" s="439"/>
      <c r="C62" s="500"/>
      <c r="D62" s="502"/>
      <c r="E62" s="245"/>
      <c r="F62" s="245"/>
      <c r="G62" s="229" t="s">
        <v>1191</v>
      </c>
      <c r="H62" s="229" t="s">
        <v>16</v>
      </c>
      <c r="I62" s="229" t="s">
        <v>249</v>
      </c>
      <c r="J62" s="495"/>
      <c r="K62" s="467"/>
      <c r="L62" s="478"/>
      <c r="M62" s="467"/>
      <c r="N62" s="497"/>
      <c r="O62" s="149" t="s">
        <v>1662</v>
      </c>
      <c r="P62" s="229" t="s">
        <v>1191</v>
      </c>
      <c r="Q62" s="137" t="s">
        <v>20</v>
      </c>
      <c r="R62" s="207" t="s">
        <v>116</v>
      </c>
      <c r="S62" s="208">
        <f t="shared" si="48"/>
        <v>15</v>
      </c>
      <c r="T62" s="207" t="s">
        <v>257</v>
      </c>
      <c r="U62" s="208">
        <f t="shared" si="49"/>
        <v>15</v>
      </c>
      <c r="V62" s="207" t="s">
        <v>257</v>
      </c>
      <c r="W62" s="208">
        <f t="shared" si="50"/>
        <v>15</v>
      </c>
      <c r="X62" s="207" t="s">
        <v>20</v>
      </c>
      <c r="Y62" s="208">
        <f t="shared" si="51"/>
        <v>15</v>
      </c>
      <c r="Z62" s="207" t="s">
        <v>257</v>
      </c>
      <c r="AA62" s="208">
        <f t="shared" si="52"/>
        <v>15</v>
      </c>
      <c r="AB62" s="207" t="s">
        <v>257</v>
      </c>
      <c r="AC62" s="208">
        <f t="shared" si="53"/>
        <v>15</v>
      </c>
      <c r="AD62" s="207" t="s">
        <v>117</v>
      </c>
      <c r="AE62" s="208">
        <f t="shared" si="6"/>
        <v>10</v>
      </c>
      <c r="AF62" s="270">
        <f t="shared" si="7"/>
        <v>100</v>
      </c>
      <c r="AG62" s="270" t="str">
        <f t="shared" si="8"/>
        <v>Fuerte</v>
      </c>
      <c r="AH62" s="209" t="s">
        <v>118</v>
      </c>
      <c r="AI62" s="210" t="str">
        <f t="shared" si="9"/>
        <v>Fuerte</v>
      </c>
      <c r="AJ62" s="211" t="str">
        <f>IFERROR(VLOOKUP((CONCATENATE(AG62,AI62)),Listados!$U$3:$V$11,2,FALSE),"")</f>
        <v>Fuerte</v>
      </c>
      <c r="AK62" s="270">
        <f t="shared" si="10"/>
        <v>100</v>
      </c>
      <c r="AL62" s="447"/>
      <c r="AM62" s="449"/>
      <c r="AN62" s="269">
        <f>+IF(AND(Q62="Preventivo",AM61="Fuerte"),2,IF(AND(Q62="Preventivo",AM61="Moderado"),1,0))</f>
        <v>2</v>
      </c>
      <c r="AO62" s="269">
        <f t="shared" si="29"/>
        <v>0</v>
      </c>
      <c r="AP62" s="212">
        <f>+K61-AN62</f>
        <v>-1</v>
      </c>
      <c r="AQ62" s="212">
        <f>+M61-AO62</f>
        <v>3</v>
      </c>
      <c r="AR62" s="433"/>
      <c r="AS62" s="433"/>
      <c r="AT62" s="433"/>
      <c r="AU62" s="433"/>
      <c r="AV62" s="570"/>
      <c r="AW62" s="574"/>
      <c r="AX62" s="578"/>
      <c r="AY62" s="578"/>
      <c r="AZ62" s="574"/>
      <c r="BA62" s="574"/>
      <c r="BB62" s="581"/>
      <c r="BC62" s="574"/>
      <c r="BD62" s="574"/>
      <c r="BE62" s="574"/>
      <c r="BF62" s="574"/>
      <c r="BG62" s="574"/>
    </row>
    <row r="63" spans="1:59" ht="70">
      <c r="A63" s="437"/>
      <c r="B63" s="439"/>
      <c r="C63" s="500"/>
      <c r="D63" s="502"/>
      <c r="E63" s="245"/>
      <c r="F63" s="245"/>
      <c r="G63" s="229" t="s">
        <v>1190</v>
      </c>
      <c r="H63" s="229" t="s">
        <v>16</v>
      </c>
      <c r="I63" s="229" t="s">
        <v>249</v>
      </c>
      <c r="J63" s="495"/>
      <c r="K63" s="467"/>
      <c r="L63" s="478"/>
      <c r="M63" s="467"/>
      <c r="N63" s="497"/>
      <c r="O63" s="149" t="s">
        <v>1663</v>
      </c>
      <c r="P63" s="229" t="s">
        <v>1190</v>
      </c>
      <c r="Q63" s="137" t="s">
        <v>20</v>
      </c>
      <c r="R63" s="207" t="s">
        <v>116</v>
      </c>
      <c r="S63" s="208">
        <f t="shared" si="48"/>
        <v>15</v>
      </c>
      <c r="T63" s="207" t="s">
        <v>257</v>
      </c>
      <c r="U63" s="208">
        <f t="shared" si="49"/>
        <v>15</v>
      </c>
      <c r="V63" s="207" t="s">
        <v>257</v>
      </c>
      <c r="W63" s="208">
        <f t="shared" si="50"/>
        <v>15</v>
      </c>
      <c r="X63" s="207" t="s">
        <v>20</v>
      </c>
      <c r="Y63" s="208">
        <f t="shared" si="51"/>
        <v>15</v>
      </c>
      <c r="Z63" s="207" t="s">
        <v>257</v>
      </c>
      <c r="AA63" s="208">
        <f t="shared" si="52"/>
        <v>15</v>
      </c>
      <c r="AB63" s="207" t="s">
        <v>257</v>
      </c>
      <c r="AC63" s="208">
        <f t="shared" si="53"/>
        <v>15</v>
      </c>
      <c r="AD63" s="207" t="s">
        <v>117</v>
      </c>
      <c r="AE63" s="208">
        <f t="shared" si="6"/>
        <v>10</v>
      </c>
      <c r="AF63" s="270">
        <f t="shared" si="7"/>
        <v>100</v>
      </c>
      <c r="AG63" s="270" t="str">
        <f t="shared" si="8"/>
        <v>Fuerte</v>
      </c>
      <c r="AH63" s="209" t="s">
        <v>118</v>
      </c>
      <c r="AI63" s="210" t="str">
        <f t="shared" si="9"/>
        <v>Fuerte</v>
      </c>
      <c r="AJ63" s="211" t="str">
        <f>IFERROR(VLOOKUP((CONCATENATE(AG63,AI63)),Listados!$U$3:$V$11,2,FALSE),"")</f>
        <v>Fuerte</v>
      </c>
      <c r="AK63" s="270">
        <f t="shared" si="10"/>
        <v>100</v>
      </c>
      <c r="AL63" s="447"/>
      <c r="AM63" s="449"/>
      <c r="AN63" s="269">
        <f>+IF(AND(Q63="Preventivo",AM61="Fuerte"),2,IF(AND(Q63="Preventivo",AM61="Moderado"),1,0))</f>
        <v>2</v>
      </c>
      <c r="AO63" s="269">
        <f t="shared" si="29"/>
        <v>0</v>
      </c>
      <c r="AP63" s="212">
        <f>+K61-AN63</f>
        <v>-1</v>
      </c>
      <c r="AQ63" s="212">
        <f>+M61-AO63</f>
        <v>3</v>
      </c>
      <c r="AR63" s="433"/>
      <c r="AS63" s="433"/>
      <c r="AT63" s="433"/>
      <c r="AU63" s="433"/>
      <c r="AV63" s="570"/>
      <c r="AW63" s="574"/>
      <c r="AX63" s="578"/>
      <c r="AY63" s="578"/>
      <c r="AZ63" s="574"/>
      <c r="BA63" s="574"/>
      <c r="BB63" s="581"/>
      <c r="BC63" s="574"/>
      <c r="BD63" s="574"/>
      <c r="BE63" s="574"/>
      <c r="BF63" s="574"/>
      <c r="BG63" s="574"/>
    </row>
    <row r="64" spans="1:59" ht="84">
      <c r="A64" s="437"/>
      <c r="B64" s="439"/>
      <c r="C64" s="500"/>
      <c r="D64" s="502"/>
      <c r="E64" s="245"/>
      <c r="F64" s="245"/>
      <c r="G64" s="229" t="s">
        <v>250</v>
      </c>
      <c r="H64" s="229" t="s">
        <v>16</v>
      </c>
      <c r="I64" s="229" t="s">
        <v>251</v>
      </c>
      <c r="J64" s="495"/>
      <c r="K64" s="467"/>
      <c r="L64" s="478"/>
      <c r="M64" s="467"/>
      <c r="N64" s="497"/>
      <c r="O64" s="149" t="s">
        <v>1664</v>
      </c>
      <c r="P64" s="245" t="s">
        <v>250</v>
      </c>
      <c r="Q64" s="137" t="s">
        <v>123</v>
      </c>
      <c r="R64" s="207" t="s">
        <v>116</v>
      </c>
      <c r="S64" s="208">
        <f t="shared" si="48"/>
        <v>15</v>
      </c>
      <c r="T64" s="207" t="s">
        <v>257</v>
      </c>
      <c r="U64" s="208">
        <f t="shared" si="49"/>
        <v>15</v>
      </c>
      <c r="V64" s="207" t="s">
        <v>257</v>
      </c>
      <c r="W64" s="208">
        <f t="shared" si="50"/>
        <v>15</v>
      </c>
      <c r="X64" s="207" t="s">
        <v>20</v>
      </c>
      <c r="Y64" s="208">
        <f t="shared" si="51"/>
        <v>15</v>
      </c>
      <c r="Z64" s="207" t="s">
        <v>257</v>
      </c>
      <c r="AA64" s="208">
        <f t="shared" si="52"/>
        <v>15</v>
      </c>
      <c r="AB64" s="207" t="s">
        <v>257</v>
      </c>
      <c r="AC64" s="208">
        <f t="shared" si="53"/>
        <v>15</v>
      </c>
      <c r="AD64" s="207" t="s">
        <v>117</v>
      </c>
      <c r="AE64" s="208">
        <f t="shared" si="6"/>
        <v>10</v>
      </c>
      <c r="AF64" s="270">
        <f t="shared" si="7"/>
        <v>100</v>
      </c>
      <c r="AG64" s="270" t="str">
        <f t="shared" si="8"/>
        <v>Fuerte</v>
      </c>
      <c r="AH64" s="209" t="s">
        <v>118</v>
      </c>
      <c r="AI64" s="210" t="str">
        <f t="shared" si="9"/>
        <v>Fuerte</v>
      </c>
      <c r="AJ64" s="211" t="str">
        <f>IFERROR(VLOOKUP((CONCATENATE(AG64,AI64)),Listados!$U$3:$V$11,2,FALSE),"")</f>
        <v>Fuerte</v>
      </c>
      <c r="AK64" s="270">
        <f t="shared" si="10"/>
        <v>100</v>
      </c>
      <c r="AL64" s="447"/>
      <c r="AM64" s="449"/>
      <c r="AN64" s="269">
        <f>+IF(AND(Q64="Preventivo",AM61="Fuerte"),2,IF(AND(Q64="Preventivo",AM61="Moderado"),1,0))</f>
        <v>0</v>
      </c>
      <c r="AO64" s="269">
        <f t="shared" si="29"/>
        <v>0</v>
      </c>
      <c r="AP64" s="212">
        <f>+K61-AN64</f>
        <v>1</v>
      </c>
      <c r="AQ64" s="212">
        <f>+M61-AO64</f>
        <v>3</v>
      </c>
      <c r="AR64" s="433"/>
      <c r="AS64" s="433"/>
      <c r="AT64" s="433"/>
      <c r="AU64" s="433"/>
      <c r="AV64" s="570"/>
      <c r="AW64" s="574"/>
      <c r="AX64" s="578"/>
      <c r="AY64" s="578"/>
      <c r="AZ64" s="574"/>
      <c r="BA64" s="574"/>
      <c r="BB64" s="581"/>
      <c r="BC64" s="574"/>
      <c r="BD64" s="574"/>
      <c r="BE64" s="574"/>
      <c r="BF64" s="574"/>
      <c r="BG64" s="574"/>
    </row>
    <row r="65" spans="1:59" ht="14.15" customHeight="1">
      <c r="A65" s="437"/>
      <c r="B65" s="439"/>
      <c r="C65" s="500"/>
      <c r="D65" s="502"/>
      <c r="E65" s="245"/>
      <c r="F65" s="245"/>
      <c r="G65" s="229"/>
      <c r="H65" s="229"/>
      <c r="I65" s="229"/>
      <c r="J65" s="495"/>
      <c r="K65" s="467"/>
      <c r="L65" s="478"/>
      <c r="M65" s="467"/>
      <c r="N65" s="497"/>
      <c r="O65" s="149"/>
      <c r="P65" s="137"/>
      <c r="Q65" s="137"/>
      <c r="R65" s="231"/>
      <c r="S65" s="208" t="str">
        <f t="shared" si="0"/>
        <v/>
      </c>
      <c r="T65" s="231"/>
      <c r="U65" s="208" t="str">
        <f t="shared" si="1"/>
        <v/>
      </c>
      <c r="V65" s="207"/>
      <c r="W65" s="208" t="str">
        <f t="shared" si="2"/>
        <v/>
      </c>
      <c r="X65" s="207"/>
      <c r="Y65" s="208" t="str">
        <f t="shared" si="3"/>
        <v/>
      </c>
      <c r="Z65" s="207"/>
      <c r="AA65" s="208" t="str">
        <f t="shared" si="4"/>
        <v/>
      </c>
      <c r="AB65" s="207"/>
      <c r="AC65" s="208" t="str">
        <f t="shared" si="5"/>
        <v/>
      </c>
      <c r="AD65" s="207"/>
      <c r="AE65" s="208" t="str">
        <f t="shared" si="6"/>
        <v/>
      </c>
      <c r="AF65" s="270" t="str">
        <f t="shared" si="7"/>
        <v/>
      </c>
      <c r="AG65" s="270" t="str">
        <f t="shared" si="8"/>
        <v/>
      </c>
      <c r="AH65" s="209"/>
      <c r="AI65" s="210" t="str">
        <f t="shared" si="9"/>
        <v>Débil</v>
      </c>
      <c r="AJ65" s="211" t="str">
        <f>IFERROR(VLOOKUP((CONCATENATE(AG65,AI65)),Listados!$U$3:$V$11,2,FALSE),"")</f>
        <v/>
      </c>
      <c r="AK65" s="270">
        <f t="shared" si="10"/>
        <v>100</v>
      </c>
      <c r="AL65" s="447"/>
      <c r="AM65" s="449"/>
      <c r="AN65" s="269">
        <f>+IF(AND(Q65="Preventivo",AM61="Fuerte"),2,IF(AND(Q65="Preventivo",AM61="Moderado"),1,0))</f>
        <v>0</v>
      </c>
      <c r="AO65" s="269">
        <f t="shared" si="29"/>
        <v>0</v>
      </c>
      <c r="AP65" s="212">
        <f>+K61-AN65</f>
        <v>1</v>
      </c>
      <c r="AQ65" s="212">
        <f>+M61-AO65</f>
        <v>3</v>
      </c>
      <c r="AR65" s="433"/>
      <c r="AS65" s="433"/>
      <c r="AT65" s="433"/>
      <c r="AU65" s="433"/>
      <c r="AV65" s="570"/>
      <c r="AW65" s="574"/>
      <c r="AX65" s="578"/>
      <c r="AY65" s="578"/>
      <c r="AZ65" s="574"/>
      <c r="BA65" s="574"/>
      <c r="BB65" s="581"/>
      <c r="BC65" s="574"/>
      <c r="BD65" s="574"/>
      <c r="BE65" s="574"/>
      <c r="BF65" s="574"/>
      <c r="BG65" s="574"/>
    </row>
    <row r="66" spans="1:59" ht="14.5" customHeight="1" thickBot="1">
      <c r="A66" s="438"/>
      <c r="B66" s="439"/>
      <c r="C66" s="500"/>
      <c r="D66" s="502"/>
      <c r="E66" s="245"/>
      <c r="F66" s="245"/>
      <c r="G66" s="229"/>
      <c r="H66" s="229"/>
      <c r="I66" s="229"/>
      <c r="J66" s="495"/>
      <c r="K66" s="468"/>
      <c r="L66" s="478"/>
      <c r="M66" s="468"/>
      <c r="N66" s="497"/>
      <c r="O66" s="149"/>
      <c r="P66" s="137"/>
      <c r="Q66" s="137"/>
      <c r="R66" s="231"/>
      <c r="S66" s="208" t="str">
        <f t="shared" ref="S66:S123" si="54">+IF(R66="si",15,"")</f>
        <v/>
      </c>
      <c r="T66" s="231"/>
      <c r="U66" s="208" t="str">
        <f t="shared" ref="U66:U123" si="55">+IF(T66="si",15,"")</f>
        <v/>
      </c>
      <c r="V66" s="207"/>
      <c r="W66" s="208" t="str">
        <f t="shared" ref="W66:W123" si="56">+IF(V66="si",15,"")</f>
        <v/>
      </c>
      <c r="X66" s="207"/>
      <c r="Y66" s="208" t="str">
        <f t="shared" ref="Y66:Y123" si="57">+IF(X66="Preventivo",15,IF(X66="Detectivo",10,""))</f>
        <v/>
      </c>
      <c r="Z66" s="207"/>
      <c r="AA66" s="208" t="str">
        <f t="shared" ref="AA66:AA123" si="58">+IF(Z66="si",15,"")</f>
        <v/>
      </c>
      <c r="AB66" s="207"/>
      <c r="AC66" s="208" t="str">
        <f t="shared" ref="AC66:AC123" si="59">+IF(AB66="si",15,"")</f>
        <v/>
      </c>
      <c r="AD66" s="207"/>
      <c r="AE66" s="208" t="str">
        <f t="shared" ref="AE66:AE123" si="60">+IF(AD66="Completa",10,IF(AD66="Incompleta",5,""))</f>
        <v/>
      </c>
      <c r="AF66" s="270" t="str">
        <f t="shared" ref="AF66:AF123" si="61">IF((SUM(S66,U66,W66,Y66,AA66,AC66,AE66)=0),"",(SUM(S66,U66,W66,Y66,AA66,AC66,AE66)))</f>
        <v/>
      </c>
      <c r="AG66" s="270" t="str">
        <f t="shared" ref="AG66:AG123" si="62">IF(AF66&lt;=85,"Débil",IF(AF66&lt;=95,"Moderado",IF(AF66=100,"Fuerte","")))</f>
        <v/>
      </c>
      <c r="AH66" s="209"/>
      <c r="AI66" s="210" t="str">
        <f t="shared" si="9"/>
        <v>Débil</v>
      </c>
      <c r="AJ66" s="211" t="str">
        <f>IFERROR(VLOOKUP((CONCATENATE(AG66,AI66)),Listados!$U$3:$V$11,2,FALSE),"")</f>
        <v/>
      </c>
      <c r="AK66" s="270">
        <f t="shared" si="10"/>
        <v>100</v>
      </c>
      <c r="AL66" s="448"/>
      <c r="AM66" s="449"/>
      <c r="AN66" s="269">
        <f>+IF(AND(Q66="Preventivo",AM61="Fuerte"),2,IF(AND(Q66="Preventivo",AM61="Moderado"),1,0))</f>
        <v>0</v>
      </c>
      <c r="AO66" s="269">
        <f t="shared" si="29"/>
        <v>0</v>
      </c>
      <c r="AP66" s="212">
        <f>+K61-AN66</f>
        <v>1</v>
      </c>
      <c r="AQ66" s="212">
        <f>+M61-AO66</f>
        <v>3</v>
      </c>
      <c r="AR66" s="434"/>
      <c r="AS66" s="434"/>
      <c r="AT66" s="434"/>
      <c r="AU66" s="434"/>
      <c r="AV66" s="584"/>
      <c r="AW66" s="575"/>
      <c r="AX66" s="579"/>
      <c r="AY66" s="579"/>
      <c r="AZ66" s="575"/>
      <c r="BA66" s="575"/>
      <c r="BB66" s="582"/>
      <c r="BC66" s="575"/>
      <c r="BD66" s="575"/>
      <c r="BE66" s="575"/>
      <c r="BF66" s="575"/>
      <c r="BG66" s="575"/>
    </row>
    <row r="67" spans="1:59" ht="90" customHeight="1">
      <c r="A67" s="436">
        <v>11</v>
      </c>
      <c r="B67" s="439" t="s">
        <v>79</v>
      </c>
      <c r="C67" s="500" t="str">
        <f>IFERROR(VLOOKUP(B67,Listados!B$3:C$20,2,FALSE),"")</f>
        <v>Fortalecer el Principio Constitucional de Seguridad Jurídica mediante la defensa del Ordenamiento Jurídico, la formulación de lineamientos o metodologías para desarrollar procesos de depuración del Ordenamiento Jurídico y la divulgación normativa a través de la administración funcional del sistema SUIN-JURISCOL.</v>
      </c>
      <c r="D67" s="502" t="s">
        <v>1665</v>
      </c>
      <c r="E67" s="245" t="s">
        <v>1272</v>
      </c>
      <c r="F67" s="245" t="s">
        <v>177</v>
      </c>
      <c r="G67" s="229" t="s">
        <v>252</v>
      </c>
      <c r="H67" s="229" t="s">
        <v>16</v>
      </c>
      <c r="I67" s="229" t="s">
        <v>249</v>
      </c>
      <c r="J67" s="495" t="s">
        <v>31</v>
      </c>
      <c r="K67" s="466">
        <f>+VLOOKUP(J67,Listados!$K$8:$L$12,2,0)</f>
        <v>2</v>
      </c>
      <c r="L67" s="477" t="s">
        <v>36</v>
      </c>
      <c r="M67" s="466">
        <f>+VLOOKUP(L67,Listados!$K$13:$L$17,2,0)</f>
        <v>3</v>
      </c>
      <c r="N67" s="496" t="str">
        <f>IF(AND(J67&lt;&gt;"",L67&lt;&gt;""),VLOOKUP(J67&amp;L67,Listados!$M$3:$N$27,2,FALSE),"")</f>
        <v>Moderado</v>
      </c>
      <c r="O67" s="149" t="s">
        <v>1203</v>
      </c>
      <c r="P67" s="137" t="s">
        <v>252</v>
      </c>
      <c r="Q67" s="137" t="s">
        <v>20</v>
      </c>
      <c r="R67" s="207" t="s">
        <v>116</v>
      </c>
      <c r="S67" s="208">
        <f t="shared" si="54"/>
        <v>15</v>
      </c>
      <c r="T67" s="207" t="s">
        <v>257</v>
      </c>
      <c r="U67" s="208">
        <f t="shared" si="55"/>
        <v>15</v>
      </c>
      <c r="V67" s="207" t="s">
        <v>257</v>
      </c>
      <c r="W67" s="208">
        <f t="shared" si="56"/>
        <v>15</v>
      </c>
      <c r="X67" s="207" t="s">
        <v>20</v>
      </c>
      <c r="Y67" s="208">
        <f t="shared" si="57"/>
        <v>15</v>
      </c>
      <c r="Z67" s="207" t="s">
        <v>257</v>
      </c>
      <c r="AA67" s="208">
        <f t="shared" si="58"/>
        <v>15</v>
      </c>
      <c r="AB67" s="207" t="s">
        <v>257</v>
      </c>
      <c r="AC67" s="208">
        <f t="shared" si="59"/>
        <v>15</v>
      </c>
      <c r="AD67" s="207" t="s">
        <v>117</v>
      </c>
      <c r="AE67" s="208">
        <f t="shared" si="60"/>
        <v>10</v>
      </c>
      <c r="AF67" s="270">
        <f t="shared" si="61"/>
        <v>100</v>
      </c>
      <c r="AG67" s="270" t="str">
        <f t="shared" si="62"/>
        <v>Fuerte</v>
      </c>
      <c r="AH67" s="209" t="s">
        <v>118</v>
      </c>
      <c r="AI67" s="210" t="str">
        <f t="shared" ref="AI67:AI124" si="63">+IF(AH67="siempre","Fuerte",IF(AH67="Algunas veces","Moderado","Débil"))</f>
        <v>Fuerte</v>
      </c>
      <c r="AJ67" s="211" t="str">
        <f>IFERROR(VLOOKUP((CONCATENATE(AG67,AI67)),Listados!$U$3:$V$11,2,FALSE),"")</f>
        <v>Fuerte</v>
      </c>
      <c r="AK67" s="270">
        <f t="shared" ref="AK67:AK124" si="64">IF(ISBLANK(AJ67),"",IF(AJ67="Débil", 0, IF(AJ67="Moderado",50,100)))</f>
        <v>100</v>
      </c>
      <c r="AL67" s="446">
        <f>AVERAGE(AK67:AK72)</f>
        <v>100</v>
      </c>
      <c r="AM67" s="448" t="str">
        <f>IF(AL67&lt;=50, "Débil", IF(AL67&lt;=99,"Moderado","Fuerte"))</f>
        <v>Fuerte</v>
      </c>
      <c r="AN67" s="269">
        <f>+IF(AND(Q67="Preventivo",AM67="Fuerte"),2,IF(AND(Q67="Preventivo",AM67="Moderado"),1,0))</f>
        <v>2</v>
      </c>
      <c r="AO67" s="269">
        <f t="shared" si="29"/>
        <v>0</v>
      </c>
      <c r="AP67" s="212">
        <f>+K67-AN67</f>
        <v>0</v>
      </c>
      <c r="AQ67" s="212">
        <f>+M67-AO67</f>
        <v>3</v>
      </c>
      <c r="AR67" s="435" t="str">
        <f>+VLOOKUP(MIN(AP67,AP68,AP69,AP70,AP71,AP72),Listados!$J$18:$K$24,2,TRUE)</f>
        <v>Rara Vez</v>
      </c>
      <c r="AS67" s="435" t="str">
        <f>+VLOOKUP(MIN(AQ67,AQ68,AQ69,AQ70,AQ71,AQ72),Listados!$J$27:$K$32,2,TRUE)</f>
        <v>Moderado</v>
      </c>
      <c r="AT67" s="435" t="str">
        <f>IF(AND(AR67&lt;&gt;"",AS67&lt;&gt;""),VLOOKUP(AR67&amp;AS67,Listados!$M$3:$N$27,2,FALSE),"")</f>
        <v>Moderado</v>
      </c>
      <c r="AU67" s="435" t="str">
        <f>+VLOOKUP(AT67,Listados!$P$3:$Q$6,2,FALSE)</f>
        <v xml:space="preserve"> Reducir el riesgo</v>
      </c>
      <c r="AV67" s="576" t="s">
        <v>1668</v>
      </c>
      <c r="AW67" s="576" t="s">
        <v>1204</v>
      </c>
      <c r="AX67" s="577">
        <v>44927</v>
      </c>
      <c r="AY67" s="577">
        <v>45291</v>
      </c>
      <c r="AZ67" s="576" t="s">
        <v>1194</v>
      </c>
      <c r="BA67" s="576" t="s">
        <v>1195</v>
      </c>
      <c r="BB67" s="580" t="s">
        <v>1425</v>
      </c>
      <c r="BC67" s="576" t="s">
        <v>1683</v>
      </c>
      <c r="BD67" s="576"/>
      <c r="BE67" s="573" t="s">
        <v>1514</v>
      </c>
      <c r="BF67" s="576" t="s">
        <v>1806</v>
      </c>
      <c r="BG67" s="576"/>
    </row>
    <row r="68" spans="1:59" ht="84">
      <c r="A68" s="437"/>
      <c r="B68" s="439"/>
      <c r="C68" s="500"/>
      <c r="D68" s="502"/>
      <c r="E68" s="245"/>
      <c r="F68" s="245"/>
      <c r="G68" s="229" t="s">
        <v>253</v>
      </c>
      <c r="H68" s="229" t="s">
        <v>16</v>
      </c>
      <c r="I68" s="229" t="s">
        <v>1202</v>
      </c>
      <c r="J68" s="495"/>
      <c r="K68" s="467"/>
      <c r="L68" s="478"/>
      <c r="M68" s="467"/>
      <c r="N68" s="497"/>
      <c r="O68" s="149" t="s">
        <v>1666</v>
      </c>
      <c r="P68" s="137" t="s">
        <v>252</v>
      </c>
      <c r="Q68" s="137" t="s">
        <v>20</v>
      </c>
      <c r="R68" s="207" t="s">
        <v>116</v>
      </c>
      <c r="S68" s="208">
        <f t="shared" si="54"/>
        <v>15</v>
      </c>
      <c r="T68" s="207" t="s">
        <v>257</v>
      </c>
      <c r="U68" s="208">
        <f t="shared" si="55"/>
        <v>15</v>
      </c>
      <c r="V68" s="207" t="s">
        <v>257</v>
      </c>
      <c r="W68" s="208">
        <f t="shared" si="56"/>
        <v>15</v>
      </c>
      <c r="X68" s="207" t="s">
        <v>20</v>
      </c>
      <c r="Y68" s="208">
        <f t="shared" si="57"/>
        <v>15</v>
      </c>
      <c r="Z68" s="207" t="s">
        <v>257</v>
      </c>
      <c r="AA68" s="208">
        <f t="shared" si="58"/>
        <v>15</v>
      </c>
      <c r="AB68" s="207" t="s">
        <v>257</v>
      </c>
      <c r="AC68" s="208">
        <f t="shared" si="59"/>
        <v>15</v>
      </c>
      <c r="AD68" s="207" t="s">
        <v>117</v>
      </c>
      <c r="AE68" s="208">
        <f t="shared" si="60"/>
        <v>10</v>
      </c>
      <c r="AF68" s="270">
        <f t="shared" si="61"/>
        <v>100</v>
      </c>
      <c r="AG68" s="270" t="str">
        <f t="shared" si="62"/>
        <v>Fuerte</v>
      </c>
      <c r="AH68" s="209" t="s">
        <v>118</v>
      </c>
      <c r="AI68" s="210" t="str">
        <f t="shared" si="63"/>
        <v>Fuerte</v>
      </c>
      <c r="AJ68" s="211" t="str">
        <f>IFERROR(VLOOKUP((CONCATENATE(AG68,AI68)),Listados!$U$3:$V$11,2,FALSE),"")</f>
        <v>Fuerte</v>
      </c>
      <c r="AK68" s="270">
        <f t="shared" si="64"/>
        <v>100</v>
      </c>
      <c r="AL68" s="447"/>
      <c r="AM68" s="449"/>
      <c r="AN68" s="269">
        <f>+IF(AND(Q68="Preventivo",AM67="Fuerte"),2,IF(AND(Q68="Preventivo",AM67="Moderado"),1,0))</f>
        <v>2</v>
      </c>
      <c r="AO68" s="269">
        <f t="shared" si="29"/>
        <v>0</v>
      </c>
      <c r="AP68" s="212">
        <f>+K67-AN68</f>
        <v>0</v>
      </c>
      <c r="AQ68" s="212">
        <f>+M67-AO68</f>
        <v>3</v>
      </c>
      <c r="AR68" s="433"/>
      <c r="AS68" s="433"/>
      <c r="AT68" s="433"/>
      <c r="AU68" s="433"/>
      <c r="AV68" s="574"/>
      <c r="AW68" s="574"/>
      <c r="AX68" s="578"/>
      <c r="AY68" s="578"/>
      <c r="AZ68" s="574"/>
      <c r="BA68" s="574"/>
      <c r="BB68" s="581"/>
      <c r="BC68" s="574"/>
      <c r="BD68" s="574"/>
      <c r="BE68" s="574"/>
      <c r="BF68" s="574"/>
      <c r="BG68" s="574"/>
    </row>
    <row r="69" spans="1:59" ht="70" customHeight="1">
      <c r="A69" s="437"/>
      <c r="B69" s="439"/>
      <c r="C69" s="500"/>
      <c r="D69" s="502"/>
      <c r="E69" s="245"/>
      <c r="F69" s="245"/>
      <c r="G69" s="229"/>
      <c r="H69" s="229"/>
      <c r="I69" s="229" t="s">
        <v>251</v>
      </c>
      <c r="J69" s="495"/>
      <c r="K69" s="467"/>
      <c r="L69" s="478"/>
      <c r="M69" s="467"/>
      <c r="N69" s="497"/>
      <c r="O69" s="149" t="s">
        <v>1667</v>
      </c>
      <c r="P69" s="137" t="s">
        <v>253</v>
      </c>
      <c r="Q69" s="137" t="s">
        <v>20</v>
      </c>
      <c r="R69" s="207" t="s">
        <v>116</v>
      </c>
      <c r="S69" s="208">
        <f t="shared" si="54"/>
        <v>15</v>
      </c>
      <c r="T69" s="207" t="s">
        <v>257</v>
      </c>
      <c r="U69" s="208">
        <f t="shared" si="55"/>
        <v>15</v>
      </c>
      <c r="V69" s="207" t="s">
        <v>257</v>
      </c>
      <c r="W69" s="208">
        <f t="shared" si="56"/>
        <v>15</v>
      </c>
      <c r="X69" s="207" t="s">
        <v>20</v>
      </c>
      <c r="Y69" s="208">
        <f t="shared" si="57"/>
        <v>15</v>
      </c>
      <c r="Z69" s="207" t="s">
        <v>257</v>
      </c>
      <c r="AA69" s="208">
        <f t="shared" si="58"/>
        <v>15</v>
      </c>
      <c r="AB69" s="207" t="s">
        <v>257</v>
      </c>
      <c r="AC69" s="208">
        <f t="shared" si="59"/>
        <v>15</v>
      </c>
      <c r="AD69" s="207" t="s">
        <v>117</v>
      </c>
      <c r="AE69" s="208">
        <f t="shared" si="60"/>
        <v>10</v>
      </c>
      <c r="AF69" s="270">
        <f t="shared" si="61"/>
        <v>100</v>
      </c>
      <c r="AG69" s="270" t="str">
        <f t="shared" si="62"/>
        <v>Fuerte</v>
      </c>
      <c r="AH69" s="209" t="s">
        <v>118</v>
      </c>
      <c r="AI69" s="210" t="str">
        <f t="shared" si="63"/>
        <v>Fuerte</v>
      </c>
      <c r="AJ69" s="211" t="str">
        <f>IFERROR(VLOOKUP((CONCATENATE(AG69,AI69)),Listados!$U$3:$V$11,2,FALSE),"")</f>
        <v>Fuerte</v>
      </c>
      <c r="AK69" s="270">
        <f t="shared" si="64"/>
        <v>100</v>
      </c>
      <c r="AL69" s="447"/>
      <c r="AM69" s="449"/>
      <c r="AN69" s="269">
        <f>+IF(AND(Q69="Preventivo",AM67="Fuerte"),2,IF(AND(Q69="Preventivo",AM67="Moderado"),1,0))</f>
        <v>2</v>
      </c>
      <c r="AO69" s="269">
        <f t="shared" si="29"/>
        <v>0</v>
      </c>
      <c r="AP69" s="212">
        <f>+K67-AN69</f>
        <v>0</v>
      </c>
      <c r="AQ69" s="212">
        <f>+M67-AO69</f>
        <v>3</v>
      </c>
      <c r="AR69" s="433"/>
      <c r="AS69" s="433"/>
      <c r="AT69" s="433"/>
      <c r="AU69" s="433"/>
      <c r="AV69" s="574"/>
      <c r="AW69" s="574"/>
      <c r="AX69" s="578"/>
      <c r="AY69" s="578"/>
      <c r="AZ69" s="574"/>
      <c r="BA69" s="574"/>
      <c r="BB69" s="581"/>
      <c r="BC69" s="574"/>
      <c r="BD69" s="574"/>
      <c r="BE69" s="574"/>
      <c r="BF69" s="574"/>
      <c r="BG69" s="574"/>
    </row>
    <row r="70" spans="1:59" ht="14.15" customHeight="1">
      <c r="A70" s="437"/>
      <c r="B70" s="439"/>
      <c r="C70" s="500"/>
      <c r="D70" s="502"/>
      <c r="E70" s="245"/>
      <c r="F70" s="245"/>
      <c r="G70" s="229"/>
      <c r="H70" s="229"/>
      <c r="I70" s="229"/>
      <c r="J70" s="495"/>
      <c r="K70" s="467"/>
      <c r="L70" s="478"/>
      <c r="M70" s="467"/>
      <c r="N70" s="497"/>
      <c r="O70" s="149"/>
      <c r="P70" s="137"/>
      <c r="Q70" s="137"/>
      <c r="R70" s="231"/>
      <c r="S70" s="208" t="str">
        <f t="shared" si="54"/>
        <v/>
      </c>
      <c r="T70" s="231"/>
      <c r="U70" s="208" t="str">
        <f t="shared" si="55"/>
        <v/>
      </c>
      <c r="V70" s="207"/>
      <c r="W70" s="208" t="str">
        <f t="shared" si="56"/>
        <v/>
      </c>
      <c r="X70" s="207"/>
      <c r="Y70" s="208" t="str">
        <f t="shared" si="57"/>
        <v/>
      </c>
      <c r="Z70" s="207"/>
      <c r="AA70" s="208" t="str">
        <f t="shared" si="58"/>
        <v/>
      </c>
      <c r="AB70" s="207"/>
      <c r="AC70" s="208" t="str">
        <f t="shared" si="59"/>
        <v/>
      </c>
      <c r="AD70" s="207"/>
      <c r="AE70" s="208" t="str">
        <f t="shared" si="60"/>
        <v/>
      </c>
      <c r="AF70" s="270" t="str">
        <f t="shared" si="61"/>
        <v/>
      </c>
      <c r="AG70" s="270" t="str">
        <f t="shared" si="62"/>
        <v/>
      </c>
      <c r="AH70" s="209"/>
      <c r="AI70" s="210" t="str">
        <f t="shared" si="63"/>
        <v>Débil</v>
      </c>
      <c r="AJ70" s="211" t="str">
        <f>IFERROR(VLOOKUP((CONCATENATE(AG70,AI70)),Listados!$U$3:$V$11,2,FALSE),"")</f>
        <v/>
      </c>
      <c r="AK70" s="270">
        <f t="shared" si="64"/>
        <v>100</v>
      </c>
      <c r="AL70" s="447"/>
      <c r="AM70" s="449"/>
      <c r="AN70" s="269">
        <f>+IF(AND(Q70="Preventivo",AM67="Fuerte"),2,IF(AND(Q70="Preventivo",AM67="Moderado"),1,0))</f>
        <v>0</v>
      </c>
      <c r="AO70" s="269">
        <f t="shared" si="29"/>
        <v>0</v>
      </c>
      <c r="AP70" s="212">
        <f>+K67-AN70</f>
        <v>2</v>
      </c>
      <c r="AQ70" s="212">
        <f>+M67-AO70</f>
        <v>3</v>
      </c>
      <c r="AR70" s="433"/>
      <c r="AS70" s="433"/>
      <c r="AT70" s="433"/>
      <c r="AU70" s="433"/>
      <c r="AV70" s="574"/>
      <c r="AW70" s="574"/>
      <c r="AX70" s="578"/>
      <c r="AY70" s="578"/>
      <c r="AZ70" s="574"/>
      <c r="BA70" s="574"/>
      <c r="BB70" s="581"/>
      <c r="BC70" s="574"/>
      <c r="BD70" s="574"/>
      <c r="BE70" s="574"/>
      <c r="BF70" s="574"/>
      <c r="BG70" s="574"/>
    </row>
    <row r="71" spans="1:59" ht="14.15" customHeight="1">
      <c r="A71" s="437"/>
      <c r="B71" s="439"/>
      <c r="C71" s="500"/>
      <c r="D71" s="502"/>
      <c r="E71" s="245"/>
      <c r="F71" s="245"/>
      <c r="G71" s="229"/>
      <c r="H71" s="229"/>
      <c r="I71" s="229"/>
      <c r="J71" s="495"/>
      <c r="K71" s="467"/>
      <c r="L71" s="478"/>
      <c r="M71" s="467"/>
      <c r="N71" s="497"/>
      <c r="O71" s="149"/>
      <c r="P71" s="137"/>
      <c r="Q71" s="137"/>
      <c r="R71" s="231"/>
      <c r="S71" s="208" t="str">
        <f t="shared" si="54"/>
        <v/>
      </c>
      <c r="T71" s="231"/>
      <c r="U71" s="208" t="str">
        <f t="shared" si="55"/>
        <v/>
      </c>
      <c r="V71" s="207"/>
      <c r="W71" s="208" t="str">
        <f t="shared" si="56"/>
        <v/>
      </c>
      <c r="X71" s="207"/>
      <c r="Y71" s="208" t="str">
        <f t="shared" si="57"/>
        <v/>
      </c>
      <c r="Z71" s="207"/>
      <c r="AA71" s="208" t="str">
        <f t="shared" si="58"/>
        <v/>
      </c>
      <c r="AB71" s="207"/>
      <c r="AC71" s="208" t="str">
        <f t="shared" si="59"/>
        <v/>
      </c>
      <c r="AD71" s="207"/>
      <c r="AE71" s="208" t="str">
        <f t="shared" si="60"/>
        <v/>
      </c>
      <c r="AF71" s="270" t="str">
        <f t="shared" si="61"/>
        <v/>
      </c>
      <c r="AG71" s="270" t="str">
        <f t="shared" si="62"/>
        <v/>
      </c>
      <c r="AH71" s="209"/>
      <c r="AI71" s="210" t="str">
        <f t="shared" si="63"/>
        <v>Débil</v>
      </c>
      <c r="AJ71" s="211" t="str">
        <f>IFERROR(VLOOKUP((CONCATENATE(AG71,AI71)),Listados!$U$3:$V$11,2,FALSE),"")</f>
        <v/>
      </c>
      <c r="AK71" s="270">
        <f t="shared" si="64"/>
        <v>100</v>
      </c>
      <c r="AL71" s="447"/>
      <c r="AM71" s="449"/>
      <c r="AN71" s="269">
        <f>+IF(AND(Q71="Preventivo",AM67="Fuerte"),2,IF(AND(Q71="Preventivo",AM67="Moderado"),1,0))</f>
        <v>0</v>
      </c>
      <c r="AO71" s="269">
        <f t="shared" si="29"/>
        <v>0</v>
      </c>
      <c r="AP71" s="212">
        <f>+K67-AN71</f>
        <v>2</v>
      </c>
      <c r="AQ71" s="212">
        <f>+M67-AO71</f>
        <v>3</v>
      </c>
      <c r="AR71" s="433"/>
      <c r="AS71" s="433"/>
      <c r="AT71" s="433"/>
      <c r="AU71" s="433"/>
      <c r="AV71" s="574"/>
      <c r="AW71" s="574"/>
      <c r="AX71" s="578"/>
      <c r="AY71" s="578"/>
      <c r="AZ71" s="574"/>
      <c r="BA71" s="574"/>
      <c r="BB71" s="581"/>
      <c r="BC71" s="574"/>
      <c r="BD71" s="574"/>
      <c r="BE71" s="574"/>
      <c r="BF71" s="574"/>
      <c r="BG71" s="574"/>
    </row>
    <row r="72" spans="1:59" ht="14.5" customHeight="1" thickBot="1">
      <c r="A72" s="438"/>
      <c r="B72" s="439"/>
      <c r="C72" s="500"/>
      <c r="D72" s="502"/>
      <c r="E72" s="245"/>
      <c r="F72" s="245"/>
      <c r="G72" s="229"/>
      <c r="H72" s="229"/>
      <c r="I72" s="229"/>
      <c r="J72" s="495"/>
      <c r="K72" s="468"/>
      <c r="L72" s="478"/>
      <c r="M72" s="468"/>
      <c r="N72" s="497"/>
      <c r="O72" s="149"/>
      <c r="P72" s="137"/>
      <c r="Q72" s="137"/>
      <c r="R72" s="231"/>
      <c r="S72" s="208" t="str">
        <f t="shared" si="54"/>
        <v/>
      </c>
      <c r="T72" s="231"/>
      <c r="U72" s="208" t="str">
        <f t="shared" si="55"/>
        <v/>
      </c>
      <c r="V72" s="207"/>
      <c r="W72" s="208" t="str">
        <f t="shared" si="56"/>
        <v/>
      </c>
      <c r="X72" s="207"/>
      <c r="Y72" s="208" t="str">
        <f t="shared" si="57"/>
        <v/>
      </c>
      <c r="Z72" s="207"/>
      <c r="AA72" s="208" t="str">
        <f t="shared" si="58"/>
        <v/>
      </c>
      <c r="AB72" s="207"/>
      <c r="AC72" s="208" t="str">
        <f t="shared" si="59"/>
        <v/>
      </c>
      <c r="AD72" s="207"/>
      <c r="AE72" s="208" t="str">
        <f t="shared" si="60"/>
        <v/>
      </c>
      <c r="AF72" s="270" t="str">
        <f t="shared" si="61"/>
        <v/>
      </c>
      <c r="AG72" s="270" t="str">
        <f t="shared" si="62"/>
        <v/>
      </c>
      <c r="AH72" s="209"/>
      <c r="AI72" s="210" t="str">
        <f t="shared" si="63"/>
        <v>Débil</v>
      </c>
      <c r="AJ72" s="211" t="str">
        <f>IFERROR(VLOOKUP((CONCATENATE(AG72,AI72)),Listados!$U$3:$V$11,2,FALSE),"")</f>
        <v/>
      </c>
      <c r="AK72" s="270">
        <f t="shared" si="64"/>
        <v>100</v>
      </c>
      <c r="AL72" s="448"/>
      <c r="AM72" s="449"/>
      <c r="AN72" s="269">
        <f>+IF(AND(Q72="Preventivo",AM67="Fuerte"),2,IF(AND(Q72="Preventivo",AM67="Moderado"),1,0))</f>
        <v>0</v>
      </c>
      <c r="AO72" s="269">
        <f t="shared" ref="AO72:AO129" si="65">+IF(AND(Q72="Detectivo",$AM$7="Fuerte"),2,IF(AND(Q72="Detectivo",$AM$7="Moderado"),1,IF(AND(Q72="Preventivo",$AM$7="Fuerte"),1,0)))</f>
        <v>0</v>
      </c>
      <c r="AP72" s="212">
        <f>+K67-AN72</f>
        <v>2</v>
      </c>
      <c r="AQ72" s="212">
        <f>+M67-AO72</f>
        <v>3</v>
      </c>
      <c r="AR72" s="434"/>
      <c r="AS72" s="434"/>
      <c r="AT72" s="434"/>
      <c r="AU72" s="434"/>
      <c r="AV72" s="575"/>
      <c r="AW72" s="575"/>
      <c r="AX72" s="579"/>
      <c r="AY72" s="579"/>
      <c r="AZ72" s="575"/>
      <c r="BA72" s="575"/>
      <c r="BB72" s="582"/>
      <c r="BC72" s="575"/>
      <c r="BD72" s="575"/>
      <c r="BE72" s="575"/>
      <c r="BF72" s="575"/>
      <c r="BG72" s="575"/>
    </row>
    <row r="73" spans="1:59" ht="126">
      <c r="A73" s="436">
        <v>13</v>
      </c>
      <c r="B73" s="439" t="s">
        <v>79</v>
      </c>
      <c r="C73" s="500" t="str">
        <f>IFERROR(VLOOKUP(B73,Listados!B$3:C$20,2,FALSE),"")</f>
        <v>Fortalecer el Principio Constitucional de Seguridad Jurídica mediante la defensa del Ordenamiento Jurídico, la formulación de lineamientos o metodologías para desarrollar procesos de depuración del Ordenamiento Jurídico y la divulgación normativa a través de la administración funcional del sistema SUIN-JURISCOL.</v>
      </c>
      <c r="D73" s="502" t="s">
        <v>1669</v>
      </c>
      <c r="E73" s="245" t="s">
        <v>1272</v>
      </c>
      <c r="F73" s="245" t="s">
        <v>177</v>
      </c>
      <c r="G73" s="229" t="s">
        <v>1670</v>
      </c>
      <c r="H73" s="229" t="s">
        <v>16</v>
      </c>
      <c r="I73" s="229" t="s">
        <v>1205</v>
      </c>
      <c r="J73" s="504" t="s">
        <v>53</v>
      </c>
      <c r="K73" s="466">
        <f>+VLOOKUP(J73,Listados!$K$8:$L$12,2,0)</f>
        <v>4</v>
      </c>
      <c r="L73" s="481" t="s">
        <v>54</v>
      </c>
      <c r="M73" s="466">
        <f>+VLOOKUP(L73,Listados!$K$13:$L$17,2,0)</f>
        <v>4</v>
      </c>
      <c r="N73" s="469" t="str">
        <f>IF(AND(J73&lt;&gt;"",L73&lt;&gt;""),VLOOKUP(J73&amp;L73,Listados!$M$3:$N$27,2,FALSE),"")</f>
        <v>Extremo</v>
      </c>
      <c r="O73" s="149" t="s">
        <v>1671</v>
      </c>
      <c r="P73" s="137" t="s">
        <v>256</v>
      </c>
      <c r="Q73" s="137" t="s">
        <v>20</v>
      </c>
      <c r="R73" s="207" t="s">
        <v>116</v>
      </c>
      <c r="S73" s="208">
        <f t="shared" si="54"/>
        <v>15</v>
      </c>
      <c r="T73" s="207" t="s">
        <v>257</v>
      </c>
      <c r="U73" s="208">
        <f t="shared" si="55"/>
        <v>15</v>
      </c>
      <c r="V73" s="207" t="s">
        <v>257</v>
      </c>
      <c r="W73" s="208">
        <f t="shared" si="56"/>
        <v>15</v>
      </c>
      <c r="X73" s="207" t="s">
        <v>20</v>
      </c>
      <c r="Y73" s="208">
        <f t="shared" si="57"/>
        <v>15</v>
      </c>
      <c r="Z73" s="207" t="s">
        <v>257</v>
      </c>
      <c r="AA73" s="208">
        <f t="shared" si="58"/>
        <v>15</v>
      </c>
      <c r="AB73" s="207" t="s">
        <v>257</v>
      </c>
      <c r="AC73" s="208">
        <f t="shared" si="59"/>
        <v>15</v>
      </c>
      <c r="AD73" s="207" t="s">
        <v>117</v>
      </c>
      <c r="AE73" s="208">
        <f t="shared" si="60"/>
        <v>10</v>
      </c>
      <c r="AF73" s="270">
        <f t="shared" si="61"/>
        <v>100</v>
      </c>
      <c r="AG73" s="270" t="str">
        <f t="shared" si="62"/>
        <v>Fuerte</v>
      </c>
      <c r="AH73" s="209" t="s">
        <v>118</v>
      </c>
      <c r="AI73" s="210" t="str">
        <f t="shared" si="63"/>
        <v>Fuerte</v>
      </c>
      <c r="AJ73" s="211" t="str">
        <f>IFERROR(VLOOKUP((CONCATENATE(AG73,AI73)),Listados!$U$3:$V$11,2,FALSE),"")</f>
        <v>Fuerte</v>
      </c>
      <c r="AK73" s="270">
        <f t="shared" si="64"/>
        <v>100</v>
      </c>
      <c r="AL73" s="446">
        <f>AVERAGE(AK73:AK78)</f>
        <v>100</v>
      </c>
      <c r="AM73" s="448" t="str">
        <f>IF(AL73&lt;=50, "Débil", IF(AL73&lt;=99,"Moderado","Fuerte"))</f>
        <v>Fuerte</v>
      </c>
      <c r="AN73" s="269">
        <f>+IF(AND(Q73="Preventivo",AM73="Fuerte"),2,IF(AND(Q73="Preventivo",AM73="Moderado"),1,0))</f>
        <v>2</v>
      </c>
      <c r="AO73" s="269">
        <f t="shared" si="65"/>
        <v>0</v>
      </c>
      <c r="AP73" s="212">
        <f>+K73-AN73</f>
        <v>2</v>
      </c>
      <c r="AQ73" s="212">
        <f>+M73-AO73</f>
        <v>4</v>
      </c>
      <c r="AR73" s="435" t="str">
        <f>+VLOOKUP(MIN(AP73,AP74,AP75,AP76,AP77,AP78),Listados!$J$18:$K$24,2,TRUE)</f>
        <v>Improbable</v>
      </c>
      <c r="AS73" s="435" t="str">
        <f>+VLOOKUP(MIN(AQ73,AQ74,AQ75,AQ76,AQ77,AQ78),Listados!$J$27:$K$32,2,TRUE)</f>
        <v>Mayor</v>
      </c>
      <c r="AT73" s="435" t="str">
        <f>IF(AND(AR73&lt;&gt;"",AS73&lt;&gt;""),VLOOKUP(AR73&amp;AS73,Listados!$M$3:$N$27,2,FALSE),"")</f>
        <v>Alto</v>
      </c>
      <c r="AU73" s="435" t="str">
        <f>+VLOOKUP(AT73,Listados!$P$3:$Q$6,2,FALSE)</f>
        <v>Reducir el riesgo</v>
      </c>
      <c r="AV73" s="585" t="s">
        <v>1674</v>
      </c>
      <c r="AW73" s="585" t="s">
        <v>1675</v>
      </c>
      <c r="AX73" s="586">
        <v>44927</v>
      </c>
      <c r="AY73" s="586">
        <v>45291</v>
      </c>
      <c r="AZ73" s="585" t="s">
        <v>1194</v>
      </c>
      <c r="BA73" s="585" t="s">
        <v>1195</v>
      </c>
      <c r="BB73" s="589" t="s">
        <v>1426</v>
      </c>
      <c r="BC73" s="585" t="s">
        <v>1684</v>
      </c>
      <c r="BD73" s="585"/>
      <c r="BE73" s="592" t="s">
        <v>1515</v>
      </c>
      <c r="BF73" s="576" t="s">
        <v>1807</v>
      </c>
      <c r="BG73" s="585"/>
    </row>
    <row r="74" spans="1:59" ht="126">
      <c r="A74" s="437"/>
      <c r="B74" s="439"/>
      <c r="C74" s="500"/>
      <c r="D74" s="502"/>
      <c r="E74" s="245"/>
      <c r="F74" s="245"/>
      <c r="G74" s="229" t="s">
        <v>255</v>
      </c>
      <c r="H74" s="229" t="s">
        <v>16</v>
      </c>
      <c r="I74" s="229" t="s">
        <v>254</v>
      </c>
      <c r="J74" s="495"/>
      <c r="K74" s="467"/>
      <c r="L74" s="478"/>
      <c r="M74" s="467"/>
      <c r="N74" s="497"/>
      <c r="O74" s="149" t="s">
        <v>1672</v>
      </c>
      <c r="P74" s="137" t="s">
        <v>255</v>
      </c>
      <c r="Q74" s="137" t="s">
        <v>123</v>
      </c>
      <c r="R74" s="207" t="s">
        <v>116</v>
      </c>
      <c r="S74" s="208">
        <f t="shared" si="54"/>
        <v>15</v>
      </c>
      <c r="T74" s="207" t="s">
        <v>257</v>
      </c>
      <c r="U74" s="208">
        <f t="shared" si="55"/>
        <v>15</v>
      </c>
      <c r="V74" s="207" t="s">
        <v>257</v>
      </c>
      <c r="W74" s="208">
        <f t="shared" si="56"/>
        <v>15</v>
      </c>
      <c r="X74" s="207" t="s">
        <v>20</v>
      </c>
      <c r="Y74" s="208">
        <f t="shared" si="57"/>
        <v>15</v>
      </c>
      <c r="Z74" s="207" t="s">
        <v>257</v>
      </c>
      <c r="AA74" s="208">
        <f t="shared" si="58"/>
        <v>15</v>
      </c>
      <c r="AB74" s="207" t="s">
        <v>257</v>
      </c>
      <c r="AC74" s="208">
        <f t="shared" si="59"/>
        <v>15</v>
      </c>
      <c r="AD74" s="207" t="s">
        <v>117</v>
      </c>
      <c r="AE74" s="208">
        <f t="shared" si="60"/>
        <v>10</v>
      </c>
      <c r="AF74" s="270">
        <f t="shared" si="61"/>
        <v>100</v>
      </c>
      <c r="AG74" s="270" t="str">
        <f t="shared" si="62"/>
        <v>Fuerte</v>
      </c>
      <c r="AH74" s="209" t="s">
        <v>118</v>
      </c>
      <c r="AI74" s="210" t="str">
        <f t="shared" si="63"/>
        <v>Fuerte</v>
      </c>
      <c r="AJ74" s="211" t="str">
        <f>IFERROR(VLOOKUP((CONCATENATE(AG74,AI74)),Listados!$U$3:$V$11,2,FALSE),"")</f>
        <v>Fuerte</v>
      </c>
      <c r="AK74" s="270">
        <f t="shared" si="64"/>
        <v>100</v>
      </c>
      <c r="AL74" s="447"/>
      <c r="AM74" s="449"/>
      <c r="AN74" s="269">
        <f>+IF(AND(Q74="Preventivo",AM73="Fuerte"),2,IF(AND(Q74="Preventivo",AM73="Moderado"),1,0))</f>
        <v>0</v>
      </c>
      <c r="AO74" s="269">
        <f t="shared" si="65"/>
        <v>0</v>
      </c>
      <c r="AP74" s="212">
        <f>+K73-AN74</f>
        <v>4</v>
      </c>
      <c r="AQ74" s="212">
        <f>+M73-AO74</f>
        <v>4</v>
      </c>
      <c r="AR74" s="433"/>
      <c r="AS74" s="433"/>
      <c r="AT74" s="433"/>
      <c r="AU74" s="433"/>
      <c r="AV74" s="562"/>
      <c r="AW74" s="562"/>
      <c r="AX74" s="587"/>
      <c r="AY74" s="587"/>
      <c r="AZ74" s="562"/>
      <c r="BA74" s="562"/>
      <c r="BB74" s="590"/>
      <c r="BC74" s="562"/>
      <c r="BD74" s="562"/>
      <c r="BE74" s="562"/>
      <c r="BF74" s="574"/>
      <c r="BG74" s="562"/>
    </row>
    <row r="75" spans="1:59" ht="154">
      <c r="A75" s="437"/>
      <c r="B75" s="439"/>
      <c r="C75" s="500"/>
      <c r="D75" s="502"/>
      <c r="E75" s="245"/>
      <c r="F75" s="229"/>
      <c r="G75" s="229"/>
      <c r="H75" s="229"/>
      <c r="I75" s="229"/>
      <c r="J75" s="495"/>
      <c r="K75" s="467"/>
      <c r="L75" s="478"/>
      <c r="M75" s="467"/>
      <c r="N75" s="497"/>
      <c r="O75" s="149" t="s">
        <v>1673</v>
      </c>
      <c r="P75" s="229" t="s">
        <v>1670</v>
      </c>
      <c r="Q75" s="137" t="s">
        <v>123</v>
      </c>
      <c r="R75" s="207" t="s">
        <v>116</v>
      </c>
      <c r="S75" s="208">
        <f t="shared" ref="S75" si="66">+IF(R75="si",15,"")</f>
        <v>15</v>
      </c>
      <c r="T75" s="207" t="s">
        <v>257</v>
      </c>
      <c r="U75" s="208">
        <f t="shared" ref="U75" si="67">+IF(T75="si",15,"")</f>
        <v>15</v>
      </c>
      <c r="V75" s="207" t="s">
        <v>257</v>
      </c>
      <c r="W75" s="208">
        <f t="shared" ref="W75" si="68">+IF(V75="si",15,"")</f>
        <v>15</v>
      </c>
      <c r="X75" s="207" t="s">
        <v>20</v>
      </c>
      <c r="Y75" s="208">
        <f t="shared" si="57"/>
        <v>15</v>
      </c>
      <c r="Z75" s="207" t="s">
        <v>257</v>
      </c>
      <c r="AA75" s="208">
        <f t="shared" ref="AA75" si="69">+IF(Z75="si",15,"")</f>
        <v>15</v>
      </c>
      <c r="AB75" s="207" t="s">
        <v>257</v>
      </c>
      <c r="AC75" s="208">
        <f t="shared" ref="AC75" si="70">+IF(AB75="si",15,"")</f>
        <v>15</v>
      </c>
      <c r="AD75" s="207" t="s">
        <v>117</v>
      </c>
      <c r="AE75" s="208">
        <f t="shared" si="60"/>
        <v>10</v>
      </c>
      <c r="AF75" s="270">
        <f t="shared" si="61"/>
        <v>100</v>
      </c>
      <c r="AG75" s="270" t="str">
        <f t="shared" si="62"/>
        <v>Fuerte</v>
      </c>
      <c r="AH75" s="209" t="s">
        <v>118</v>
      </c>
      <c r="AI75" s="210" t="str">
        <f t="shared" si="63"/>
        <v>Fuerte</v>
      </c>
      <c r="AJ75" s="211" t="str">
        <f>IFERROR(VLOOKUP((CONCATENATE(AG75,AI75)),Listados!$U$3:$V$11,2,FALSE),"")</f>
        <v>Fuerte</v>
      </c>
      <c r="AK75" s="270">
        <f t="shared" si="64"/>
        <v>100</v>
      </c>
      <c r="AL75" s="447"/>
      <c r="AM75" s="449"/>
      <c r="AN75" s="269">
        <f>+IF(AND(Q75="Preventivo",AM73="Fuerte"),2,IF(AND(Q75="Preventivo",AM73="Moderado"),1,0))</f>
        <v>0</v>
      </c>
      <c r="AO75" s="269">
        <f t="shared" si="65"/>
        <v>0</v>
      </c>
      <c r="AP75" s="212">
        <f>+K73-AN75</f>
        <v>4</v>
      </c>
      <c r="AQ75" s="212">
        <f>+M73-AO75</f>
        <v>4</v>
      </c>
      <c r="AR75" s="433"/>
      <c r="AS75" s="433"/>
      <c r="AT75" s="433"/>
      <c r="AU75" s="433"/>
      <c r="AV75" s="562"/>
      <c r="AW75" s="562"/>
      <c r="AX75" s="587"/>
      <c r="AY75" s="587"/>
      <c r="AZ75" s="562"/>
      <c r="BA75" s="562"/>
      <c r="BB75" s="590"/>
      <c r="BC75" s="562"/>
      <c r="BD75" s="562"/>
      <c r="BE75" s="562"/>
      <c r="BF75" s="574"/>
      <c r="BG75" s="562"/>
    </row>
    <row r="76" spans="1:59" ht="14.15" customHeight="1">
      <c r="A76" s="437"/>
      <c r="B76" s="439"/>
      <c r="C76" s="500"/>
      <c r="D76" s="502"/>
      <c r="E76" s="245"/>
      <c r="F76" s="245"/>
      <c r="G76" s="229"/>
      <c r="H76" s="229"/>
      <c r="I76" s="229"/>
      <c r="J76" s="495"/>
      <c r="K76" s="467"/>
      <c r="L76" s="478"/>
      <c r="M76" s="467"/>
      <c r="N76" s="497"/>
      <c r="O76" s="149"/>
      <c r="P76" s="137"/>
      <c r="Q76" s="137"/>
      <c r="R76" s="231"/>
      <c r="S76" s="208" t="str">
        <f t="shared" si="54"/>
        <v/>
      </c>
      <c r="T76" s="231"/>
      <c r="U76" s="208" t="str">
        <f t="shared" si="55"/>
        <v/>
      </c>
      <c r="V76" s="207"/>
      <c r="W76" s="208" t="str">
        <f t="shared" si="56"/>
        <v/>
      </c>
      <c r="X76" s="207"/>
      <c r="Y76" s="208" t="str">
        <f t="shared" si="57"/>
        <v/>
      </c>
      <c r="Z76" s="207"/>
      <c r="AA76" s="208" t="str">
        <f t="shared" si="58"/>
        <v/>
      </c>
      <c r="AB76" s="207"/>
      <c r="AC76" s="208" t="str">
        <f t="shared" si="59"/>
        <v/>
      </c>
      <c r="AD76" s="207"/>
      <c r="AE76" s="208" t="str">
        <f t="shared" si="60"/>
        <v/>
      </c>
      <c r="AF76" s="270" t="str">
        <f t="shared" si="61"/>
        <v/>
      </c>
      <c r="AG76" s="270" t="str">
        <f t="shared" si="62"/>
        <v/>
      </c>
      <c r="AH76" s="209"/>
      <c r="AI76" s="210" t="str">
        <f t="shared" si="63"/>
        <v>Débil</v>
      </c>
      <c r="AJ76" s="211" t="str">
        <f>IFERROR(VLOOKUP((CONCATENATE(AG76,AI76)),Listados!$U$3:$V$11,2,FALSE),"")</f>
        <v/>
      </c>
      <c r="AK76" s="270">
        <f t="shared" si="64"/>
        <v>100</v>
      </c>
      <c r="AL76" s="447"/>
      <c r="AM76" s="449"/>
      <c r="AN76" s="269">
        <f>+IF(AND(Q76="Preventivo",AM73="Fuerte"),2,IF(AND(Q76="Preventivo",AM73="Moderado"),1,0))</f>
        <v>0</v>
      </c>
      <c r="AO76" s="269">
        <f t="shared" si="65"/>
        <v>0</v>
      </c>
      <c r="AP76" s="212">
        <f>+K73-AN76</f>
        <v>4</v>
      </c>
      <c r="AQ76" s="212">
        <f>+M73-AO76</f>
        <v>4</v>
      </c>
      <c r="AR76" s="433"/>
      <c r="AS76" s="433"/>
      <c r="AT76" s="433"/>
      <c r="AU76" s="433"/>
      <c r="AV76" s="562"/>
      <c r="AW76" s="562"/>
      <c r="AX76" s="587"/>
      <c r="AY76" s="587"/>
      <c r="AZ76" s="562"/>
      <c r="BA76" s="562"/>
      <c r="BB76" s="590"/>
      <c r="BC76" s="562"/>
      <c r="BD76" s="562"/>
      <c r="BE76" s="562"/>
      <c r="BF76" s="574"/>
      <c r="BG76" s="562"/>
    </row>
    <row r="77" spans="1:59" ht="14.15" customHeight="1">
      <c r="A77" s="437"/>
      <c r="B77" s="439"/>
      <c r="C77" s="500"/>
      <c r="D77" s="502"/>
      <c r="E77" s="245"/>
      <c r="F77" s="245"/>
      <c r="G77" s="229"/>
      <c r="H77" s="229"/>
      <c r="I77" s="229"/>
      <c r="J77" s="495"/>
      <c r="K77" s="467"/>
      <c r="L77" s="478"/>
      <c r="M77" s="467"/>
      <c r="N77" s="497"/>
      <c r="O77" s="149"/>
      <c r="P77" s="137"/>
      <c r="Q77" s="137"/>
      <c r="R77" s="231"/>
      <c r="S77" s="208" t="str">
        <f t="shared" si="54"/>
        <v/>
      </c>
      <c r="T77" s="231"/>
      <c r="U77" s="208" t="str">
        <f t="shared" si="55"/>
        <v/>
      </c>
      <c r="V77" s="207"/>
      <c r="W77" s="208" t="str">
        <f t="shared" si="56"/>
        <v/>
      </c>
      <c r="X77" s="207"/>
      <c r="Y77" s="208" t="str">
        <f t="shared" si="57"/>
        <v/>
      </c>
      <c r="Z77" s="207"/>
      <c r="AA77" s="208" t="str">
        <f t="shared" si="58"/>
        <v/>
      </c>
      <c r="AB77" s="207"/>
      <c r="AC77" s="208" t="str">
        <f t="shared" si="59"/>
        <v/>
      </c>
      <c r="AD77" s="207"/>
      <c r="AE77" s="208" t="str">
        <f t="shared" si="60"/>
        <v/>
      </c>
      <c r="AF77" s="270" t="str">
        <f t="shared" si="61"/>
        <v/>
      </c>
      <c r="AG77" s="270" t="str">
        <f t="shared" si="62"/>
        <v/>
      </c>
      <c r="AH77" s="209"/>
      <c r="AI77" s="210" t="str">
        <f t="shared" si="63"/>
        <v>Débil</v>
      </c>
      <c r="AJ77" s="211" t="str">
        <f>IFERROR(VLOOKUP((CONCATENATE(AG77,AI77)),Listados!$U$3:$V$11,2,FALSE),"")</f>
        <v/>
      </c>
      <c r="AK77" s="270">
        <f t="shared" si="64"/>
        <v>100</v>
      </c>
      <c r="AL77" s="447"/>
      <c r="AM77" s="449"/>
      <c r="AN77" s="269">
        <f>+IF(AND(Q77="Preventivo",AM73="Fuerte"),2,IF(AND(Q77="Preventivo",AM73="Moderado"),1,0))</f>
        <v>0</v>
      </c>
      <c r="AO77" s="269">
        <f t="shared" si="65"/>
        <v>0</v>
      </c>
      <c r="AP77" s="212">
        <f>+K73-AN77</f>
        <v>4</v>
      </c>
      <c r="AQ77" s="212">
        <f>+M73-AO77</f>
        <v>4</v>
      </c>
      <c r="AR77" s="433"/>
      <c r="AS77" s="433"/>
      <c r="AT77" s="433"/>
      <c r="AU77" s="433"/>
      <c r="AV77" s="562"/>
      <c r="AW77" s="562"/>
      <c r="AX77" s="587"/>
      <c r="AY77" s="587"/>
      <c r="AZ77" s="562"/>
      <c r="BA77" s="562"/>
      <c r="BB77" s="590"/>
      <c r="BC77" s="562"/>
      <c r="BD77" s="562"/>
      <c r="BE77" s="562"/>
      <c r="BF77" s="574"/>
      <c r="BG77" s="562"/>
    </row>
    <row r="78" spans="1:59" ht="14.5" customHeight="1" thickBot="1">
      <c r="A78" s="438"/>
      <c r="B78" s="439"/>
      <c r="C78" s="500"/>
      <c r="D78" s="502"/>
      <c r="E78" s="245"/>
      <c r="F78" s="245"/>
      <c r="G78" s="229"/>
      <c r="H78" s="229"/>
      <c r="I78" s="229"/>
      <c r="J78" s="495"/>
      <c r="K78" s="468"/>
      <c r="L78" s="478"/>
      <c r="M78" s="468"/>
      <c r="N78" s="497"/>
      <c r="O78" s="149"/>
      <c r="P78" s="137"/>
      <c r="Q78" s="137"/>
      <c r="R78" s="231"/>
      <c r="S78" s="208" t="str">
        <f t="shared" si="54"/>
        <v/>
      </c>
      <c r="T78" s="231"/>
      <c r="U78" s="208" t="str">
        <f t="shared" si="55"/>
        <v/>
      </c>
      <c r="V78" s="207"/>
      <c r="W78" s="208" t="str">
        <f t="shared" si="56"/>
        <v/>
      </c>
      <c r="X78" s="207"/>
      <c r="Y78" s="208" t="str">
        <f t="shared" si="57"/>
        <v/>
      </c>
      <c r="Z78" s="207"/>
      <c r="AA78" s="208" t="str">
        <f t="shared" si="58"/>
        <v/>
      </c>
      <c r="AB78" s="207"/>
      <c r="AC78" s="208" t="str">
        <f t="shared" si="59"/>
        <v/>
      </c>
      <c r="AD78" s="207"/>
      <c r="AE78" s="208" t="str">
        <f t="shared" si="60"/>
        <v/>
      </c>
      <c r="AF78" s="270" t="str">
        <f t="shared" si="61"/>
        <v/>
      </c>
      <c r="AG78" s="270" t="str">
        <f t="shared" si="62"/>
        <v/>
      </c>
      <c r="AH78" s="209"/>
      <c r="AI78" s="210" t="str">
        <f t="shared" si="63"/>
        <v>Débil</v>
      </c>
      <c r="AJ78" s="211" t="str">
        <f>IFERROR(VLOOKUP((CONCATENATE(AG78,AI78)),Listados!$U$3:$V$11,2,FALSE),"")</f>
        <v/>
      </c>
      <c r="AK78" s="270">
        <f t="shared" si="64"/>
        <v>100</v>
      </c>
      <c r="AL78" s="448"/>
      <c r="AM78" s="449"/>
      <c r="AN78" s="269">
        <f>+IF(AND(Q78="Preventivo",AM73="Fuerte"),2,IF(AND(Q78="Preventivo",AM73="Moderado"),1,0))</f>
        <v>0</v>
      </c>
      <c r="AO78" s="269">
        <f t="shared" si="65"/>
        <v>0</v>
      </c>
      <c r="AP78" s="212">
        <f>+K73-AN78</f>
        <v>4</v>
      </c>
      <c r="AQ78" s="212">
        <f>+M73-AO78</f>
        <v>4</v>
      </c>
      <c r="AR78" s="434"/>
      <c r="AS78" s="434"/>
      <c r="AT78" s="434"/>
      <c r="AU78" s="434"/>
      <c r="AV78" s="563"/>
      <c r="AW78" s="563"/>
      <c r="AX78" s="588"/>
      <c r="AY78" s="588"/>
      <c r="AZ78" s="563"/>
      <c r="BA78" s="563"/>
      <c r="BB78" s="591"/>
      <c r="BC78" s="563"/>
      <c r="BD78" s="563"/>
      <c r="BE78" s="563"/>
      <c r="BF78" s="575"/>
      <c r="BG78" s="563"/>
    </row>
    <row r="79" spans="1:59" ht="126">
      <c r="A79" s="436">
        <v>14</v>
      </c>
      <c r="B79" s="439" t="s">
        <v>104</v>
      </c>
      <c r="C79" s="500" t="str">
        <f>IFERROR(VLOOKUP(B79,Listados!B$3:C$20,2,FALSE),"")</f>
        <v>Evaluar y/o hacer seguimiento a la planeación, ejecución y control en la gestión de los procesos (SIG), programas, planes y proyectos del Ministerio de Justicia y del Derecho para el mejoramiento continuo de la gestión de la Entidad.</v>
      </c>
      <c r="D79" s="502" t="s">
        <v>1217</v>
      </c>
      <c r="E79" s="250" t="s">
        <v>29</v>
      </c>
      <c r="F79" s="250" t="s">
        <v>189</v>
      </c>
      <c r="G79" s="250" t="s">
        <v>1024</v>
      </c>
      <c r="H79" s="251" t="s">
        <v>16</v>
      </c>
      <c r="I79" s="251" t="s">
        <v>1218</v>
      </c>
      <c r="J79" s="495" t="s">
        <v>21</v>
      </c>
      <c r="K79" s="466">
        <f>+VLOOKUP(J79,Listados!$K$8:$L$12,2,0)</f>
        <v>1</v>
      </c>
      <c r="L79" s="517" t="s">
        <v>54</v>
      </c>
      <c r="M79" s="466">
        <f>+VLOOKUP(L79,Listados!$K$13:$L$17,2,0)</f>
        <v>4</v>
      </c>
      <c r="N79" s="496" t="str">
        <f>IF(AND(J79&lt;&gt;"",L79&lt;&gt;""),VLOOKUP(J79&amp;L79,Listados!$M$3:$N$27,2,FALSE),"")</f>
        <v>Alto</v>
      </c>
      <c r="O79" s="239" t="s">
        <v>1206</v>
      </c>
      <c r="P79" s="149" t="s">
        <v>1024</v>
      </c>
      <c r="Q79" s="151" t="s">
        <v>123</v>
      </c>
      <c r="R79" s="271" t="s">
        <v>116</v>
      </c>
      <c r="S79" s="208">
        <f>+IF(R79="si",15,"")</f>
        <v>15</v>
      </c>
      <c r="T79" s="271" t="s">
        <v>257</v>
      </c>
      <c r="U79" s="208">
        <f>+IF(T79="si",15,"")</f>
        <v>15</v>
      </c>
      <c r="V79" s="271" t="s">
        <v>257</v>
      </c>
      <c r="W79" s="208">
        <f>+IF(V79="si",15,"")</f>
        <v>15</v>
      </c>
      <c r="X79" s="271" t="s">
        <v>257</v>
      </c>
      <c r="Y79" s="208">
        <f>+IF(X79="si",15,"")</f>
        <v>15</v>
      </c>
      <c r="Z79" s="271" t="s">
        <v>257</v>
      </c>
      <c r="AA79" s="208">
        <f>+IF(Z79="si",15,"")</f>
        <v>15</v>
      </c>
      <c r="AB79" s="271" t="s">
        <v>257</v>
      </c>
      <c r="AC79" s="208">
        <f>+IF(AB79="si",15,"")</f>
        <v>15</v>
      </c>
      <c r="AD79" s="271" t="s">
        <v>117</v>
      </c>
      <c r="AE79" s="208">
        <f t="shared" si="60"/>
        <v>10</v>
      </c>
      <c r="AF79" s="270">
        <f t="shared" si="61"/>
        <v>100</v>
      </c>
      <c r="AG79" s="270" t="str">
        <f t="shared" si="62"/>
        <v>Fuerte</v>
      </c>
      <c r="AH79" s="210" t="s">
        <v>118</v>
      </c>
      <c r="AI79" s="210" t="str">
        <f t="shared" si="63"/>
        <v>Fuerte</v>
      </c>
      <c r="AJ79" s="211" t="str">
        <f>IFERROR(VLOOKUP((CONCATENATE(AG79,AI79)),Listados!$U$3:$V$11,2,FALSE),"")</f>
        <v>Fuerte</v>
      </c>
      <c r="AK79" s="270">
        <f t="shared" si="64"/>
        <v>100</v>
      </c>
      <c r="AL79" s="446">
        <f>AVERAGE(AK79:AK84)</f>
        <v>100</v>
      </c>
      <c r="AM79" s="448" t="str">
        <f>IF(AL79&lt;=50, "Débil", IF(AL79&lt;=99,"Moderado","Fuerte"))</f>
        <v>Fuerte</v>
      </c>
      <c r="AN79" s="269">
        <f>+IF(AND(Q79="Preventivo",AM79="Fuerte"),2,IF(AND(Q79="Preventivo",AM79="Moderado"),1,0))</f>
        <v>0</v>
      </c>
      <c r="AO79" s="269">
        <f t="shared" si="65"/>
        <v>0</v>
      </c>
      <c r="AP79" s="212">
        <f>+K79-AN79</f>
        <v>1</v>
      </c>
      <c r="AQ79" s="212">
        <f>+M79-AO79</f>
        <v>4</v>
      </c>
      <c r="AR79" s="435" t="str">
        <f>+VLOOKUP(MIN(AP79,AP80,AP81,AP82,AP83,AP84),Listados!$J$18:$K$24,2,TRUE)</f>
        <v>Rara Vez</v>
      </c>
      <c r="AS79" s="435" t="str">
        <f>+VLOOKUP(MIN(AQ79,AQ80,AQ81,AQ82,AQ83,AQ84),Listados!$J$27:$K$32,2,TRUE)</f>
        <v>Mayor</v>
      </c>
      <c r="AT79" s="435" t="str">
        <f>IF(AND(AR79&lt;&gt;"",AS79&lt;&gt;""),VLOOKUP(AR79&amp;AS79,Listados!$M$3:$N$27,2,FALSE),"")</f>
        <v>Alto</v>
      </c>
      <c r="AU79" s="435" t="str">
        <f>+VLOOKUP(AT79,Listados!$P$3:$Q$6,2,FALSE)</f>
        <v>Reducir el riesgo</v>
      </c>
      <c r="AV79" s="242" t="s">
        <v>1084</v>
      </c>
      <c r="AW79" s="242" t="s">
        <v>1085</v>
      </c>
      <c r="AX79" s="243">
        <v>44927</v>
      </c>
      <c r="AY79" s="243">
        <v>45291</v>
      </c>
      <c r="AZ79" s="244" t="s">
        <v>1086</v>
      </c>
      <c r="BA79" s="244" t="s">
        <v>1087</v>
      </c>
      <c r="BB79" s="600" t="s">
        <v>1428</v>
      </c>
      <c r="BC79" s="694" t="s">
        <v>1619</v>
      </c>
      <c r="BD79" s="427"/>
      <c r="BE79" s="592" t="s">
        <v>1516</v>
      </c>
      <c r="BF79" s="559" t="s">
        <v>1809</v>
      </c>
      <c r="BG79" s="559"/>
    </row>
    <row r="80" spans="1:59" ht="70">
      <c r="A80" s="437"/>
      <c r="B80" s="439"/>
      <c r="C80" s="500"/>
      <c r="D80" s="502"/>
      <c r="E80" s="250"/>
      <c r="F80" s="250"/>
      <c r="G80" s="250" t="s">
        <v>258</v>
      </c>
      <c r="H80" s="251" t="s">
        <v>16</v>
      </c>
      <c r="I80" s="251" t="s">
        <v>1219</v>
      </c>
      <c r="J80" s="495"/>
      <c r="K80" s="467"/>
      <c r="L80" s="518"/>
      <c r="M80" s="467"/>
      <c r="N80" s="497"/>
      <c r="O80" s="202" t="s">
        <v>259</v>
      </c>
      <c r="P80" s="272" t="s">
        <v>258</v>
      </c>
      <c r="Q80" s="151" t="s">
        <v>20</v>
      </c>
      <c r="R80" s="271" t="s">
        <v>257</v>
      </c>
      <c r="S80" s="208">
        <f t="shared" ref="S80:S81" si="71">+IF(R80="si",15,"")</f>
        <v>15</v>
      </c>
      <c r="T80" s="271" t="s">
        <v>257</v>
      </c>
      <c r="U80" s="208">
        <f t="shared" ref="U80:U81" si="72">+IF(T80="si",15,"")</f>
        <v>15</v>
      </c>
      <c r="V80" s="271" t="s">
        <v>257</v>
      </c>
      <c r="W80" s="208">
        <f t="shared" ref="W80:W81" si="73">+IF(V80="si",15,"")</f>
        <v>15</v>
      </c>
      <c r="X80" s="271" t="s">
        <v>257</v>
      </c>
      <c r="Y80" s="208">
        <f t="shared" ref="Y80:Y81" si="74">+IF(X80="si",15,"")</f>
        <v>15</v>
      </c>
      <c r="Z80" s="271" t="s">
        <v>257</v>
      </c>
      <c r="AA80" s="208">
        <f t="shared" ref="AA80:AA81" si="75">+IF(Z80="si",15,"")</f>
        <v>15</v>
      </c>
      <c r="AB80" s="271" t="s">
        <v>257</v>
      </c>
      <c r="AC80" s="208">
        <f t="shared" ref="AC80:AC81" si="76">+IF(AB80="si",15,"")</f>
        <v>15</v>
      </c>
      <c r="AD80" s="271" t="s">
        <v>117</v>
      </c>
      <c r="AE80" s="208">
        <f t="shared" si="60"/>
        <v>10</v>
      </c>
      <c r="AF80" s="270">
        <f t="shared" si="61"/>
        <v>100</v>
      </c>
      <c r="AG80" s="270" t="str">
        <f t="shared" si="62"/>
        <v>Fuerte</v>
      </c>
      <c r="AH80" s="210" t="s">
        <v>118</v>
      </c>
      <c r="AI80" s="210" t="str">
        <f t="shared" si="63"/>
        <v>Fuerte</v>
      </c>
      <c r="AJ80" s="211" t="str">
        <f>IFERROR(VLOOKUP((CONCATENATE(AG80,AI80)),Listados!$U$3:$V$11,2,FALSE),"")</f>
        <v>Fuerte</v>
      </c>
      <c r="AK80" s="270">
        <f t="shared" si="64"/>
        <v>100</v>
      </c>
      <c r="AL80" s="447"/>
      <c r="AM80" s="449"/>
      <c r="AN80" s="269">
        <f>+IF(AND(Q80="Preventivo",AM79="Fuerte"),2,IF(AND(Q80="Preventivo",AM79="Moderado"),1,0))</f>
        <v>2</v>
      </c>
      <c r="AO80" s="269">
        <f t="shared" si="65"/>
        <v>0</v>
      </c>
      <c r="AP80" s="212">
        <f>+K79-AN80</f>
        <v>-1</v>
      </c>
      <c r="AQ80" s="212">
        <f>+M79-AO80</f>
        <v>4</v>
      </c>
      <c r="AR80" s="433"/>
      <c r="AS80" s="433"/>
      <c r="AT80" s="433"/>
      <c r="AU80" s="433"/>
      <c r="AV80" s="593" t="s">
        <v>1223</v>
      </c>
      <c r="AW80" s="593" t="s">
        <v>1089</v>
      </c>
      <c r="AX80" s="599">
        <v>44927</v>
      </c>
      <c r="AY80" s="599">
        <v>45291</v>
      </c>
      <c r="AZ80" s="593" t="s">
        <v>1224</v>
      </c>
      <c r="BA80" s="593" t="s">
        <v>1225</v>
      </c>
      <c r="BB80" s="601"/>
      <c r="BC80" s="428"/>
      <c r="BD80" s="430"/>
      <c r="BE80" s="562"/>
      <c r="BF80" s="549"/>
      <c r="BG80" s="549"/>
    </row>
    <row r="81" spans="1:59" ht="84">
      <c r="A81" s="437"/>
      <c r="B81" s="439"/>
      <c r="C81" s="500"/>
      <c r="D81" s="502"/>
      <c r="E81" s="250"/>
      <c r="F81" s="250"/>
      <c r="G81" s="250" t="s">
        <v>260</v>
      </c>
      <c r="H81" s="251" t="s">
        <v>16</v>
      </c>
      <c r="I81" s="251" t="s">
        <v>1220</v>
      </c>
      <c r="J81" s="495"/>
      <c r="K81" s="467"/>
      <c r="L81" s="518"/>
      <c r="M81" s="467"/>
      <c r="N81" s="497"/>
      <c r="O81" s="202" t="s">
        <v>1222</v>
      </c>
      <c r="P81" s="272" t="s">
        <v>261</v>
      </c>
      <c r="Q81" s="151" t="s">
        <v>20</v>
      </c>
      <c r="R81" s="271" t="s">
        <v>257</v>
      </c>
      <c r="S81" s="208">
        <f t="shared" si="71"/>
        <v>15</v>
      </c>
      <c r="T81" s="271" t="s">
        <v>257</v>
      </c>
      <c r="U81" s="208">
        <f t="shared" si="72"/>
        <v>15</v>
      </c>
      <c r="V81" s="271" t="s">
        <v>257</v>
      </c>
      <c r="W81" s="208">
        <f t="shared" si="73"/>
        <v>15</v>
      </c>
      <c r="X81" s="271" t="s">
        <v>257</v>
      </c>
      <c r="Y81" s="208">
        <f t="shared" si="74"/>
        <v>15</v>
      </c>
      <c r="Z81" s="271" t="s">
        <v>257</v>
      </c>
      <c r="AA81" s="208">
        <f t="shared" si="75"/>
        <v>15</v>
      </c>
      <c r="AB81" s="271" t="s">
        <v>257</v>
      </c>
      <c r="AC81" s="208">
        <f t="shared" si="76"/>
        <v>15</v>
      </c>
      <c r="AD81" s="271" t="s">
        <v>117</v>
      </c>
      <c r="AE81" s="208">
        <f t="shared" si="60"/>
        <v>10</v>
      </c>
      <c r="AF81" s="270">
        <f t="shared" si="61"/>
        <v>100</v>
      </c>
      <c r="AG81" s="270" t="str">
        <f t="shared" si="62"/>
        <v>Fuerte</v>
      </c>
      <c r="AH81" s="210" t="s">
        <v>118</v>
      </c>
      <c r="AI81" s="210" t="str">
        <f t="shared" si="63"/>
        <v>Fuerte</v>
      </c>
      <c r="AJ81" s="211" t="str">
        <f>IFERROR(VLOOKUP((CONCATENATE(AG81,AI81)),Listados!$U$3:$V$11,2,FALSE),"")</f>
        <v>Fuerte</v>
      </c>
      <c r="AK81" s="270">
        <f t="shared" si="64"/>
        <v>100</v>
      </c>
      <c r="AL81" s="447"/>
      <c r="AM81" s="449"/>
      <c r="AN81" s="269">
        <f>+IF(AND(Q81="Preventivo",AM79="Fuerte"),2,IF(AND(Q81="Preventivo",AM79="Moderado"),1,0))</f>
        <v>2</v>
      </c>
      <c r="AO81" s="269">
        <f t="shared" si="65"/>
        <v>0</v>
      </c>
      <c r="AP81" s="212">
        <f>+K79-AN81</f>
        <v>-1</v>
      </c>
      <c r="AQ81" s="212">
        <f>+M79-AO81</f>
        <v>4</v>
      </c>
      <c r="AR81" s="433"/>
      <c r="AS81" s="433"/>
      <c r="AT81" s="433"/>
      <c r="AU81" s="433"/>
      <c r="AV81" s="594"/>
      <c r="AW81" s="594"/>
      <c r="AX81" s="597"/>
      <c r="AY81" s="597"/>
      <c r="AZ81" s="594"/>
      <c r="BA81" s="594"/>
      <c r="BB81" s="601"/>
      <c r="BC81" s="428"/>
      <c r="BD81" s="430"/>
      <c r="BE81" s="562"/>
      <c r="BF81" s="549"/>
      <c r="BG81" s="549"/>
    </row>
    <row r="82" spans="1:59" ht="28.5" customHeight="1">
      <c r="A82" s="437"/>
      <c r="B82" s="439"/>
      <c r="C82" s="500"/>
      <c r="D82" s="502"/>
      <c r="E82" s="250"/>
      <c r="F82" s="250"/>
      <c r="G82" s="251"/>
      <c r="H82" s="251"/>
      <c r="I82" s="251" t="s">
        <v>1221</v>
      </c>
      <c r="J82" s="495"/>
      <c r="K82" s="467"/>
      <c r="L82" s="518"/>
      <c r="M82" s="467"/>
      <c r="N82" s="497"/>
      <c r="O82" s="149"/>
      <c r="P82" s="137"/>
      <c r="Q82" s="137"/>
      <c r="R82" s="231"/>
      <c r="S82" s="208" t="str">
        <f t="shared" si="54"/>
        <v/>
      </c>
      <c r="T82" s="231"/>
      <c r="U82" s="208" t="str">
        <f t="shared" si="55"/>
        <v/>
      </c>
      <c r="V82" s="207"/>
      <c r="W82" s="208" t="str">
        <f t="shared" si="56"/>
        <v/>
      </c>
      <c r="X82" s="207"/>
      <c r="Y82" s="208" t="str">
        <f t="shared" si="57"/>
        <v/>
      </c>
      <c r="Z82" s="207"/>
      <c r="AA82" s="208" t="str">
        <f t="shared" si="58"/>
        <v/>
      </c>
      <c r="AB82" s="207"/>
      <c r="AC82" s="208" t="str">
        <f t="shared" si="59"/>
        <v/>
      </c>
      <c r="AD82" s="207"/>
      <c r="AE82" s="208" t="str">
        <f t="shared" si="60"/>
        <v/>
      </c>
      <c r="AF82" s="270" t="str">
        <f t="shared" si="61"/>
        <v/>
      </c>
      <c r="AG82" s="270" t="str">
        <f t="shared" si="62"/>
        <v/>
      </c>
      <c r="AH82" s="209"/>
      <c r="AI82" s="210" t="str">
        <f t="shared" si="63"/>
        <v>Débil</v>
      </c>
      <c r="AJ82" s="211" t="str">
        <f>IFERROR(VLOOKUP((CONCATENATE(AG82,AI82)),Listados!$U$3:$V$11,2,FALSE),"")</f>
        <v/>
      </c>
      <c r="AK82" s="270">
        <f t="shared" si="64"/>
        <v>100</v>
      </c>
      <c r="AL82" s="447"/>
      <c r="AM82" s="449"/>
      <c r="AN82" s="269">
        <f>+IF(AND(Q82="Preventivo",AM79="Fuerte"),2,IF(AND(Q82="Preventivo",AM79="Moderado"),1,0))</f>
        <v>0</v>
      </c>
      <c r="AO82" s="269">
        <f t="shared" si="65"/>
        <v>0</v>
      </c>
      <c r="AP82" s="212">
        <f>+K79-AN82</f>
        <v>1</v>
      </c>
      <c r="AQ82" s="212">
        <f>+M79-AO82</f>
        <v>4</v>
      </c>
      <c r="AR82" s="433"/>
      <c r="AS82" s="433"/>
      <c r="AT82" s="433"/>
      <c r="AU82" s="433"/>
      <c r="AV82" s="594"/>
      <c r="AW82" s="594"/>
      <c r="AX82" s="597"/>
      <c r="AY82" s="597"/>
      <c r="AZ82" s="594"/>
      <c r="BA82" s="594"/>
      <c r="BB82" s="601"/>
      <c r="BC82" s="428"/>
      <c r="BD82" s="430"/>
      <c r="BE82" s="562"/>
      <c r="BF82" s="549"/>
      <c r="BG82" s="549"/>
    </row>
    <row r="83" spans="1:59">
      <c r="A83" s="437"/>
      <c r="B83" s="439"/>
      <c r="C83" s="500"/>
      <c r="D83" s="502"/>
      <c r="E83" s="250"/>
      <c r="F83" s="250"/>
      <c r="G83" s="251"/>
      <c r="H83" s="251"/>
      <c r="I83" s="251"/>
      <c r="J83" s="495"/>
      <c r="K83" s="467"/>
      <c r="L83" s="518"/>
      <c r="M83" s="467"/>
      <c r="N83" s="497"/>
      <c r="O83" s="149"/>
      <c r="P83" s="137"/>
      <c r="Q83" s="137"/>
      <c r="R83" s="231"/>
      <c r="S83" s="208" t="str">
        <f t="shared" si="54"/>
        <v/>
      </c>
      <c r="T83" s="231"/>
      <c r="U83" s="208" t="str">
        <f t="shared" si="55"/>
        <v/>
      </c>
      <c r="V83" s="207"/>
      <c r="W83" s="208" t="str">
        <f t="shared" si="56"/>
        <v/>
      </c>
      <c r="X83" s="207"/>
      <c r="Y83" s="208" t="str">
        <f t="shared" si="57"/>
        <v/>
      </c>
      <c r="Z83" s="207"/>
      <c r="AA83" s="208" t="str">
        <f t="shared" si="58"/>
        <v/>
      </c>
      <c r="AB83" s="207"/>
      <c r="AC83" s="208" t="str">
        <f t="shared" si="59"/>
        <v/>
      </c>
      <c r="AD83" s="207"/>
      <c r="AE83" s="208" t="str">
        <f t="shared" si="60"/>
        <v/>
      </c>
      <c r="AF83" s="270" t="str">
        <f t="shared" si="61"/>
        <v/>
      </c>
      <c r="AG83" s="270" t="str">
        <f t="shared" si="62"/>
        <v/>
      </c>
      <c r="AH83" s="209"/>
      <c r="AI83" s="210" t="str">
        <f t="shared" si="63"/>
        <v>Débil</v>
      </c>
      <c r="AJ83" s="211" t="str">
        <f>IFERROR(VLOOKUP((CONCATENATE(AG83,AI83)),Listados!$U$3:$V$11,2,FALSE),"")</f>
        <v/>
      </c>
      <c r="AK83" s="270">
        <f t="shared" si="64"/>
        <v>100</v>
      </c>
      <c r="AL83" s="447"/>
      <c r="AM83" s="449"/>
      <c r="AN83" s="269">
        <f>+IF(AND(Q83="Preventivo",AM79="Fuerte"),2,IF(AND(Q83="Preventivo",AM79="Moderado"),1,0))</f>
        <v>0</v>
      </c>
      <c r="AO83" s="269">
        <f t="shared" si="65"/>
        <v>0</v>
      </c>
      <c r="AP83" s="212">
        <f>+K79-AN83</f>
        <v>1</v>
      </c>
      <c r="AQ83" s="212">
        <f>+M79-AO83</f>
        <v>4</v>
      </c>
      <c r="AR83" s="433"/>
      <c r="AS83" s="433"/>
      <c r="AT83" s="433"/>
      <c r="AU83" s="433"/>
      <c r="AV83" s="594"/>
      <c r="AW83" s="594"/>
      <c r="AX83" s="597"/>
      <c r="AY83" s="597"/>
      <c r="AZ83" s="594"/>
      <c r="BA83" s="594"/>
      <c r="BB83" s="601"/>
      <c r="BC83" s="428"/>
      <c r="BD83" s="430"/>
      <c r="BE83" s="562"/>
      <c r="BF83" s="549"/>
      <c r="BG83" s="549"/>
    </row>
    <row r="84" spans="1:59" ht="14.5" thickBot="1">
      <c r="A84" s="438"/>
      <c r="B84" s="439"/>
      <c r="C84" s="500"/>
      <c r="D84" s="502"/>
      <c r="E84" s="250"/>
      <c r="F84" s="250"/>
      <c r="G84" s="251"/>
      <c r="H84" s="251"/>
      <c r="I84" s="251"/>
      <c r="J84" s="495"/>
      <c r="K84" s="468"/>
      <c r="L84" s="477"/>
      <c r="M84" s="468"/>
      <c r="N84" s="497"/>
      <c r="O84" s="149"/>
      <c r="P84" s="137"/>
      <c r="Q84" s="137"/>
      <c r="R84" s="231"/>
      <c r="S84" s="208" t="str">
        <f t="shared" si="54"/>
        <v/>
      </c>
      <c r="T84" s="231"/>
      <c r="U84" s="208" t="str">
        <f t="shared" si="55"/>
        <v/>
      </c>
      <c r="V84" s="207"/>
      <c r="W84" s="208" t="str">
        <f t="shared" si="56"/>
        <v/>
      </c>
      <c r="X84" s="207"/>
      <c r="Y84" s="208" t="str">
        <f t="shared" si="57"/>
        <v/>
      </c>
      <c r="Z84" s="207"/>
      <c r="AA84" s="208" t="str">
        <f t="shared" si="58"/>
        <v/>
      </c>
      <c r="AB84" s="207"/>
      <c r="AC84" s="208" t="str">
        <f t="shared" si="59"/>
        <v/>
      </c>
      <c r="AD84" s="207"/>
      <c r="AE84" s="208" t="str">
        <f t="shared" si="60"/>
        <v/>
      </c>
      <c r="AF84" s="270" t="str">
        <f t="shared" si="61"/>
        <v/>
      </c>
      <c r="AG84" s="270" t="str">
        <f t="shared" si="62"/>
        <v/>
      </c>
      <c r="AH84" s="209"/>
      <c r="AI84" s="210" t="str">
        <f t="shared" si="63"/>
        <v>Débil</v>
      </c>
      <c r="AJ84" s="211" t="str">
        <f>IFERROR(VLOOKUP((CONCATENATE(AG84,AI84)),Listados!$U$3:$V$11,2,FALSE),"")</f>
        <v/>
      </c>
      <c r="AK84" s="270">
        <f t="shared" si="64"/>
        <v>100</v>
      </c>
      <c r="AL84" s="448"/>
      <c r="AM84" s="449"/>
      <c r="AN84" s="269">
        <f>+IF(AND(Q84="Preventivo",AM79="Fuerte"),2,IF(AND(Q84="Preventivo",AM79="Moderado"),1,0))</f>
        <v>0</v>
      </c>
      <c r="AO84" s="269">
        <f t="shared" si="65"/>
        <v>0</v>
      </c>
      <c r="AP84" s="212">
        <f>+K79-AN84</f>
        <v>1</v>
      </c>
      <c r="AQ84" s="212">
        <f>+M79-AO84</f>
        <v>4</v>
      </c>
      <c r="AR84" s="434"/>
      <c r="AS84" s="434"/>
      <c r="AT84" s="434"/>
      <c r="AU84" s="434"/>
      <c r="AV84" s="595"/>
      <c r="AW84" s="595"/>
      <c r="AX84" s="598"/>
      <c r="AY84" s="598"/>
      <c r="AZ84" s="595"/>
      <c r="BA84" s="595"/>
      <c r="BB84" s="602"/>
      <c r="BC84" s="429"/>
      <c r="BD84" s="431"/>
      <c r="BE84" s="563"/>
      <c r="BF84" s="550"/>
      <c r="BG84" s="550"/>
    </row>
    <row r="85" spans="1:59" ht="112">
      <c r="A85" s="436">
        <v>15</v>
      </c>
      <c r="B85" s="439" t="s">
        <v>104</v>
      </c>
      <c r="C85" s="500" t="str">
        <f>IFERROR(VLOOKUP(B85,Listados!B$3:C$20,2,FALSE),"")</f>
        <v>Evaluar y/o hacer seguimiento a la planeación, ejecución y control en la gestión de los procesos (SIG), programas, planes y proyectos del Ministerio de Justicia y del Derecho para el mejoramiento continuo de la gestión de la Entidad.</v>
      </c>
      <c r="D85" s="502" t="s">
        <v>1405</v>
      </c>
      <c r="E85" s="250" t="s">
        <v>52</v>
      </c>
      <c r="F85" s="250" t="s">
        <v>189</v>
      </c>
      <c r="G85" s="250" t="s">
        <v>262</v>
      </c>
      <c r="H85" s="251" t="s">
        <v>16</v>
      </c>
      <c r="I85" s="251" t="s">
        <v>1226</v>
      </c>
      <c r="J85" s="495" t="s">
        <v>31</v>
      </c>
      <c r="K85" s="466">
        <f>+VLOOKUP(J85,Listados!$K$8:$L$12,2,0)</f>
        <v>2</v>
      </c>
      <c r="L85" s="477" t="s">
        <v>54</v>
      </c>
      <c r="M85" s="466">
        <f>+VLOOKUP(L85,Listados!$K$13:$L$17,2,0)</f>
        <v>4</v>
      </c>
      <c r="N85" s="496" t="str">
        <f>IF(AND(J85&lt;&gt;"",L85&lt;&gt;""),VLOOKUP(J85&amp;L85,Listados!$M$3:$N$27,2,FALSE),"")</f>
        <v>Alto</v>
      </c>
      <c r="O85" s="239" t="s">
        <v>1621</v>
      </c>
      <c r="P85" s="151" t="s">
        <v>262</v>
      </c>
      <c r="Q85" s="151" t="s">
        <v>20</v>
      </c>
      <c r="R85" s="289" t="s">
        <v>116</v>
      </c>
      <c r="S85" s="208">
        <f t="shared" si="54"/>
        <v>15</v>
      </c>
      <c r="T85" s="289" t="s">
        <v>257</v>
      </c>
      <c r="U85" s="208">
        <f t="shared" si="55"/>
        <v>15</v>
      </c>
      <c r="V85" s="271" t="s">
        <v>257</v>
      </c>
      <c r="W85" s="208">
        <f t="shared" si="56"/>
        <v>15</v>
      </c>
      <c r="X85" s="271" t="s">
        <v>257</v>
      </c>
      <c r="Y85" s="208">
        <f t="shared" ref="Y85:Y86" si="77">+IF(X85="si",15,"")</f>
        <v>15</v>
      </c>
      <c r="Z85" s="271" t="s">
        <v>257</v>
      </c>
      <c r="AA85" s="208">
        <f t="shared" si="58"/>
        <v>15</v>
      </c>
      <c r="AB85" s="271" t="s">
        <v>257</v>
      </c>
      <c r="AC85" s="208">
        <f t="shared" si="59"/>
        <v>15</v>
      </c>
      <c r="AD85" s="207" t="s">
        <v>117</v>
      </c>
      <c r="AE85" s="208">
        <f t="shared" si="60"/>
        <v>10</v>
      </c>
      <c r="AF85" s="270">
        <f t="shared" si="61"/>
        <v>100</v>
      </c>
      <c r="AG85" s="270" t="str">
        <f t="shared" si="62"/>
        <v>Fuerte</v>
      </c>
      <c r="AH85" s="209" t="s">
        <v>118</v>
      </c>
      <c r="AI85" s="210" t="str">
        <f t="shared" si="63"/>
        <v>Fuerte</v>
      </c>
      <c r="AJ85" s="211" t="str">
        <f>IFERROR(VLOOKUP((CONCATENATE(AG85,AI85)),Listados!$U$3:$V$11,2,FALSE),"")</f>
        <v>Fuerte</v>
      </c>
      <c r="AK85" s="270">
        <f t="shared" si="64"/>
        <v>100</v>
      </c>
      <c r="AL85" s="446">
        <f>AVERAGE(AK85:AK90)</f>
        <v>100</v>
      </c>
      <c r="AM85" s="448" t="str">
        <f>IF(AL85&lt;=50, "Débil", IF(AL85&lt;=99,"Moderado","Fuerte"))</f>
        <v>Fuerte</v>
      </c>
      <c r="AN85" s="269">
        <f>+IF(AND(Q85="Preventivo",AM85="Fuerte"),2,IF(AND(Q85="Preventivo",AM85="Moderado"),1,0))</f>
        <v>2</v>
      </c>
      <c r="AO85" s="269">
        <f t="shared" si="65"/>
        <v>0</v>
      </c>
      <c r="AP85" s="212">
        <f>+K85-AN85</f>
        <v>0</v>
      </c>
      <c r="AQ85" s="212">
        <f>+M85-AO85</f>
        <v>4</v>
      </c>
      <c r="AR85" s="435" t="str">
        <f>+VLOOKUP(MIN(AP85,AP86,AP87,AP88,AP89,AP90),Listados!$J$18:$K$24,2,TRUE)</f>
        <v>Rara Vez</v>
      </c>
      <c r="AS85" s="435" t="str">
        <f>+VLOOKUP(MIN(AQ85,AQ86,AQ87,AQ88,AQ89,AQ90),Listados!$J$27:$K$32,2,TRUE)</f>
        <v>Mayor</v>
      </c>
      <c r="AT85" s="435" t="str">
        <f>IF(AND(AR85&lt;&gt;"",AS85&lt;&gt;""),VLOOKUP(AR85&amp;AS85,Listados!$M$3:$N$27,2,FALSE),"")</f>
        <v>Alto</v>
      </c>
      <c r="AU85" s="435" t="str">
        <f>+VLOOKUP(AT85,Listados!$P$3:$Q$6,2,FALSE)</f>
        <v>Reducir el riesgo</v>
      </c>
      <c r="AV85" s="237" t="s">
        <v>1088</v>
      </c>
      <c r="AW85" s="244" t="s">
        <v>1089</v>
      </c>
      <c r="AX85" s="243">
        <v>44927</v>
      </c>
      <c r="AY85" s="243">
        <v>45291</v>
      </c>
      <c r="AZ85" s="244" t="s">
        <v>1086</v>
      </c>
      <c r="BA85" s="244" t="s">
        <v>1090</v>
      </c>
      <c r="BB85" s="603" t="s">
        <v>1429</v>
      </c>
      <c r="BC85" s="695" t="s">
        <v>1620</v>
      </c>
      <c r="BD85" s="427"/>
      <c r="BE85" s="556" t="s">
        <v>1552</v>
      </c>
      <c r="BF85" s="559" t="s">
        <v>1809</v>
      </c>
      <c r="BG85" s="559"/>
    </row>
    <row r="86" spans="1:59" ht="98">
      <c r="A86" s="437"/>
      <c r="B86" s="439"/>
      <c r="C86" s="500"/>
      <c r="D86" s="502"/>
      <c r="E86" s="250"/>
      <c r="F86" s="250"/>
      <c r="G86" s="250" t="s">
        <v>263</v>
      </c>
      <c r="H86" s="251" t="s">
        <v>30</v>
      </c>
      <c r="I86" s="251" t="s">
        <v>1227</v>
      </c>
      <c r="J86" s="495"/>
      <c r="K86" s="467"/>
      <c r="L86" s="478"/>
      <c r="M86" s="467"/>
      <c r="N86" s="497"/>
      <c r="O86" s="200" t="s">
        <v>1622</v>
      </c>
      <c r="P86" s="151" t="s">
        <v>263</v>
      </c>
      <c r="Q86" s="151" t="s">
        <v>20</v>
      </c>
      <c r="R86" s="289" t="s">
        <v>116</v>
      </c>
      <c r="S86" s="208">
        <f t="shared" si="54"/>
        <v>15</v>
      </c>
      <c r="T86" s="289" t="s">
        <v>257</v>
      </c>
      <c r="U86" s="208">
        <f t="shared" si="55"/>
        <v>15</v>
      </c>
      <c r="V86" s="271" t="s">
        <v>257</v>
      </c>
      <c r="W86" s="208">
        <f t="shared" si="56"/>
        <v>15</v>
      </c>
      <c r="X86" s="271" t="s">
        <v>257</v>
      </c>
      <c r="Y86" s="208">
        <f t="shared" si="77"/>
        <v>15</v>
      </c>
      <c r="Z86" s="271" t="s">
        <v>257</v>
      </c>
      <c r="AA86" s="208">
        <f t="shared" si="58"/>
        <v>15</v>
      </c>
      <c r="AB86" s="271" t="s">
        <v>257</v>
      </c>
      <c r="AC86" s="208">
        <f t="shared" si="59"/>
        <v>15</v>
      </c>
      <c r="AD86" s="207" t="s">
        <v>117</v>
      </c>
      <c r="AE86" s="208">
        <f t="shared" si="60"/>
        <v>10</v>
      </c>
      <c r="AF86" s="270">
        <f t="shared" si="61"/>
        <v>100</v>
      </c>
      <c r="AG86" s="270" t="str">
        <f t="shared" si="62"/>
        <v>Fuerte</v>
      </c>
      <c r="AH86" s="209" t="s">
        <v>118</v>
      </c>
      <c r="AI86" s="210" t="str">
        <f t="shared" si="63"/>
        <v>Fuerte</v>
      </c>
      <c r="AJ86" s="211" t="str">
        <f>IFERROR(VLOOKUP((CONCATENATE(AG86,AI86)),Listados!$U$3:$V$11,2,FALSE),"")</f>
        <v>Fuerte</v>
      </c>
      <c r="AK86" s="270">
        <f t="shared" si="64"/>
        <v>100</v>
      </c>
      <c r="AL86" s="447"/>
      <c r="AM86" s="449"/>
      <c r="AN86" s="269">
        <f>+IF(AND(Q86="Preventivo",AM85="Fuerte"),2,IF(AND(Q86="Preventivo",AM85="Moderado"),1,0))</f>
        <v>2</v>
      </c>
      <c r="AO86" s="269">
        <f t="shared" si="65"/>
        <v>0</v>
      </c>
      <c r="AP86" s="212">
        <f>+K85-AN86</f>
        <v>0</v>
      </c>
      <c r="AQ86" s="212">
        <f>+M85-AO86</f>
        <v>4</v>
      </c>
      <c r="AR86" s="433"/>
      <c r="AS86" s="433"/>
      <c r="AT86" s="433"/>
      <c r="AU86" s="433"/>
      <c r="AV86" s="593" t="s">
        <v>1223</v>
      </c>
      <c r="AW86" s="593" t="s">
        <v>1089</v>
      </c>
      <c r="AX86" s="596">
        <v>44927</v>
      </c>
      <c r="AY86" s="596">
        <v>45291</v>
      </c>
      <c r="AZ86" s="593" t="s">
        <v>1224</v>
      </c>
      <c r="BA86" s="593" t="s">
        <v>1090</v>
      </c>
      <c r="BB86" s="604"/>
      <c r="BC86" s="441"/>
      <c r="BD86" s="430"/>
      <c r="BE86" s="557"/>
      <c r="BF86" s="549"/>
      <c r="BG86" s="549"/>
    </row>
    <row r="87" spans="1:59" ht="98">
      <c r="A87" s="437"/>
      <c r="B87" s="439"/>
      <c r="C87" s="500"/>
      <c r="D87" s="502"/>
      <c r="E87" s="250"/>
      <c r="F87" s="250"/>
      <c r="G87" s="250" t="s">
        <v>265</v>
      </c>
      <c r="H87" s="251" t="s">
        <v>16</v>
      </c>
      <c r="I87" s="251" t="s">
        <v>1228</v>
      </c>
      <c r="J87" s="495"/>
      <c r="K87" s="467"/>
      <c r="L87" s="478"/>
      <c r="M87" s="467"/>
      <c r="N87" s="497"/>
      <c r="O87" s="200" t="s">
        <v>264</v>
      </c>
      <c r="P87" s="151" t="s">
        <v>265</v>
      </c>
      <c r="Q87" s="151" t="s">
        <v>20</v>
      </c>
      <c r="R87" s="289" t="s">
        <v>116</v>
      </c>
      <c r="S87" s="208">
        <f t="shared" ref="S87" si="78">+IF(R87="si",15,"")</f>
        <v>15</v>
      </c>
      <c r="T87" s="289" t="s">
        <v>257</v>
      </c>
      <c r="U87" s="208">
        <f t="shared" ref="U87" si="79">+IF(T87="si",15,"")</f>
        <v>15</v>
      </c>
      <c r="V87" s="271" t="s">
        <v>257</v>
      </c>
      <c r="W87" s="208">
        <f t="shared" ref="W87" si="80">+IF(V87="si",15,"")</f>
        <v>15</v>
      </c>
      <c r="X87" s="271" t="s">
        <v>257</v>
      </c>
      <c r="Y87" s="208">
        <f t="shared" ref="Y87" si="81">+IF(X87="si",15,"")</f>
        <v>15</v>
      </c>
      <c r="Z87" s="271" t="s">
        <v>257</v>
      </c>
      <c r="AA87" s="208">
        <f t="shared" ref="AA87" si="82">+IF(Z87="si",15,"")</f>
        <v>15</v>
      </c>
      <c r="AB87" s="271" t="s">
        <v>257</v>
      </c>
      <c r="AC87" s="208">
        <f t="shared" ref="AC87" si="83">+IF(AB87="si",15,"")</f>
        <v>15</v>
      </c>
      <c r="AD87" s="207" t="s">
        <v>117</v>
      </c>
      <c r="AE87" s="208">
        <f t="shared" si="60"/>
        <v>10</v>
      </c>
      <c r="AF87" s="270">
        <f t="shared" si="61"/>
        <v>100</v>
      </c>
      <c r="AG87" s="270" t="str">
        <f t="shared" si="62"/>
        <v>Fuerte</v>
      </c>
      <c r="AH87" s="209" t="s">
        <v>118</v>
      </c>
      <c r="AI87" s="210" t="str">
        <f t="shared" si="63"/>
        <v>Fuerte</v>
      </c>
      <c r="AJ87" s="211" t="str">
        <f>IFERROR(VLOOKUP((CONCATENATE(AG87,AI87)),Listados!$U$3:$V$11,2,FALSE),"")</f>
        <v>Fuerte</v>
      </c>
      <c r="AK87" s="270">
        <f t="shared" si="64"/>
        <v>100</v>
      </c>
      <c r="AL87" s="447"/>
      <c r="AM87" s="449"/>
      <c r="AN87" s="269">
        <f>+IF(AND(Q87="Preventivo",AM85="Fuerte"),2,IF(AND(Q87="Preventivo",AM85="Moderado"),1,0))</f>
        <v>2</v>
      </c>
      <c r="AO87" s="269">
        <f t="shared" si="65"/>
        <v>0</v>
      </c>
      <c r="AP87" s="212">
        <f>+K85-AN87</f>
        <v>0</v>
      </c>
      <c r="AQ87" s="212">
        <f>+M85-AO87</f>
        <v>4</v>
      </c>
      <c r="AR87" s="433"/>
      <c r="AS87" s="433"/>
      <c r="AT87" s="433"/>
      <c r="AU87" s="433"/>
      <c r="AV87" s="594"/>
      <c r="AW87" s="594"/>
      <c r="AX87" s="597"/>
      <c r="AY87" s="597"/>
      <c r="AZ87" s="594"/>
      <c r="BA87" s="594"/>
      <c r="BB87" s="604"/>
      <c r="BC87" s="441"/>
      <c r="BD87" s="430"/>
      <c r="BE87" s="557"/>
      <c r="BF87" s="549"/>
      <c r="BG87" s="549"/>
    </row>
    <row r="88" spans="1:59" ht="98">
      <c r="A88" s="437"/>
      <c r="B88" s="439"/>
      <c r="C88" s="500"/>
      <c r="D88" s="502"/>
      <c r="E88" s="250"/>
      <c r="F88" s="250"/>
      <c r="G88" s="250" t="s">
        <v>266</v>
      </c>
      <c r="H88" s="251" t="s">
        <v>16</v>
      </c>
      <c r="I88" s="251" t="s">
        <v>1229</v>
      </c>
      <c r="J88" s="495"/>
      <c r="K88" s="467"/>
      <c r="L88" s="478"/>
      <c r="M88" s="467"/>
      <c r="N88" s="497"/>
      <c r="O88" s="200" t="s">
        <v>1623</v>
      </c>
      <c r="P88" s="137" t="s">
        <v>266</v>
      </c>
      <c r="Q88" s="137" t="s">
        <v>123</v>
      </c>
      <c r="R88" s="289" t="s">
        <v>116</v>
      </c>
      <c r="S88" s="208">
        <f t="shared" si="54"/>
        <v>15</v>
      </c>
      <c r="T88" s="289" t="s">
        <v>116</v>
      </c>
      <c r="U88" s="208">
        <f t="shared" si="55"/>
        <v>15</v>
      </c>
      <c r="V88" s="271" t="s">
        <v>116</v>
      </c>
      <c r="W88" s="208">
        <f t="shared" si="56"/>
        <v>15</v>
      </c>
      <c r="X88" s="271" t="s">
        <v>116</v>
      </c>
      <c r="Y88" s="208">
        <f t="shared" ref="Y88" si="84">+IF(X88="si",15,"")</f>
        <v>15</v>
      </c>
      <c r="Z88" s="271" t="s">
        <v>116</v>
      </c>
      <c r="AA88" s="208">
        <f t="shared" si="58"/>
        <v>15</v>
      </c>
      <c r="AB88" s="271" t="s">
        <v>116</v>
      </c>
      <c r="AC88" s="208">
        <f t="shared" si="59"/>
        <v>15</v>
      </c>
      <c r="AD88" s="207" t="s">
        <v>117</v>
      </c>
      <c r="AE88" s="208">
        <f t="shared" si="60"/>
        <v>10</v>
      </c>
      <c r="AF88" s="270">
        <f t="shared" si="61"/>
        <v>100</v>
      </c>
      <c r="AG88" s="270" t="str">
        <f t="shared" si="62"/>
        <v>Fuerte</v>
      </c>
      <c r="AH88" s="209" t="s">
        <v>118</v>
      </c>
      <c r="AI88" s="210" t="str">
        <f t="shared" si="63"/>
        <v>Fuerte</v>
      </c>
      <c r="AJ88" s="211" t="str">
        <f>IFERROR(VLOOKUP((CONCATENATE(AG88,AI88)),Listados!$U$3:$V$11,2,FALSE),"")</f>
        <v>Fuerte</v>
      </c>
      <c r="AK88" s="270">
        <f t="shared" si="64"/>
        <v>100</v>
      </c>
      <c r="AL88" s="447"/>
      <c r="AM88" s="449"/>
      <c r="AN88" s="269">
        <f>+IF(AND(Q88="Preventivo",AM85="Fuerte"),2,IF(AND(Q88="Preventivo",AM85="Moderado"),1,0))</f>
        <v>0</v>
      </c>
      <c r="AO88" s="269">
        <f t="shared" si="65"/>
        <v>0</v>
      </c>
      <c r="AP88" s="212">
        <f>+K85-AN88</f>
        <v>2</v>
      </c>
      <c r="AQ88" s="212">
        <f>+M85-AO88</f>
        <v>4</v>
      </c>
      <c r="AR88" s="433"/>
      <c r="AS88" s="433"/>
      <c r="AT88" s="433"/>
      <c r="AU88" s="433"/>
      <c r="AV88" s="594"/>
      <c r="AW88" s="594"/>
      <c r="AX88" s="597"/>
      <c r="AY88" s="597"/>
      <c r="AZ88" s="594"/>
      <c r="BA88" s="594"/>
      <c r="BB88" s="604"/>
      <c r="BC88" s="441"/>
      <c r="BD88" s="430"/>
      <c r="BE88" s="557"/>
      <c r="BF88" s="549"/>
      <c r="BG88" s="549"/>
    </row>
    <row r="89" spans="1:59">
      <c r="A89" s="437"/>
      <c r="B89" s="439"/>
      <c r="C89" s="500"/>
      <c r="D89" s="502"/>
      <c r="E89" s="250"/>
      <c r="F89" s="250"/>
      <c r="G89" s="251"/>
      <c r="H89" s="251"/>
      <c r="I89" s="251"/>
      <c r="J89" s="495"/>
      <c r="K89" s="467"/>
      <c r="L89" s="478"/>
      <c r="M89" s="467"/>
      <c r="N89" s="497"/>
      <c r="O89" s="149"/>
      <c r="P89" s="137"/>
      <c r="Q89" s="137"/>
      <c r="R89" s="231"/>
      <c r="S89" s="208" t="str">
        <f t="shared" si="54"/>
        <v/>
      </c>
      <c r="T89" s="231"/>
      <c r="U89" s="208" t="str">
        <f t="shared" si="55"/>
        <v/>
      </c>
      <c r="V89" s="207"/>
      <c r="W89" s="208" t="str">
        <f t="shared" si="56"/>
        <v/>
      </c>
      <c r="X89" s="207"/>
      <c r="Y89" s="208" t="str">
        <f t="shared" si="57"/>
        <v/>
      </c>
      <c r="Z89" s="207"/>
      <c r="AA89" s="208" t="str">
        <f t="shared" si="58"/>
        <v/>
      </c>
      <c r="AB89" s="207"/>
      <c r="AC89" s="208" t="str">
        <f t="shared" si="59"/>
        <v/>
      </c>
      <c r="AD89" s="207"/>
      <c r="AE89" s="208" t="str">
        <f t="shared" si="60"/>
        <v/>
      </c>
      <c r="AF89" s="270" t="str">
        <f t="shared" si="61"/>
        <v/>
      </c>
      <c r="AG89" s="270" t="str">
        <f t="shared" si="62"/>
        <v/>
      </c>
      <c r="AH89" s="209"/>
      <c r="AI89" s="210" t="str">
        <f t="shared" si="63"/>
        <v>Débil</v>
      </c>
      <c r="AJ89" s="211" t="str">
        <f>IFERROR(VLOOKUP((CONCATENATE(AG89,AI89)),Listados!$U$3:$V$11,2,FALSE),"")</f>
        <v/>
      </c>
      <c r="AK89" s="270">
        <f t="shared" si="64"/>
        <v>100</v>
      </c>
      <c r="AL89" s="447"/>
      <c r="AM89" s="449"/>
      <c r="AN89" s="269">
        <f>+IF(AND(Q89="Preventivo",AM85="Fuerte"),2,IF(AND(Q89="Preventivo",AM85="Moderado"),1,0))</f>
        <v>0</v>
      </c>
      <c r="AO89" s="269">
        <f t="shared" si="65"/>
        <v>0</v>
      </c>
      <c r="AP89" s="212">
        <f>+K85-AN89</f>
        <v>2</v>
      </c>
      <c r="AQ89" s="212">
        <f>+M85-AO89</f>
        <v>4</v>
      </c>
      <c r="AR89" s="433"/>
      <c r="AS89" s="433"/>
      <c r="AT89" s="433"/>
      <c r="AU89" s="433"/>
      <c r="AV89" s="594"/>
      <c r="AW89" s="594"/>
      <c r="AX89" s="597"/>
      <c r="AY89" s="597"/>
      <c r="AZ89" s="594"/>
      <c r="BA89" s="594"/>
      <c r="BB89" s="604"/>
      <c r="BC89" s="441"/>
      <c r="BD89" s="430"/>
      <c r="BE89" s="557"/>
      <c r="BF89" s="549"/>
      <c r="BG89" s="549"/>
    </row>
    <row r="90" spans="1:59" ht="14.5" thickBot="1">
      <c r="A90" s="438"/>
      <c r="B90" s="439"/>
      <c r="C90" s="500"/>
      <c r="D90" s="502"/>
      <c r="E90" s="250"/>
      <c r="F90" s="250"/>
      <c r="G90" s="251"/>
      <c r="H90" s="251"/>
      <c r="I90" s="251"/>
      <c r="J90" s="495"/>
      <c r="K90" s="468"/>
      <c r="L90" s="478"/>
      <c r="M90" s="468"/>
      <c r="N90" s="497"/>
      <c r="O90" s="149"/>
      <c r="P90" s="137"/>
      <c r="Q90" s="137"/>
      <c r="R90" s="231"/>
      <c r="S90" s="208" t="str">
        <f t="shared" si="54"/>
        <v/>
      </c>
      <c r="T90" s="231"/>
      <c r="U90" s="208" t="str">
        <f t="shared" si="55"/>
        <v/>
      </c>
      <c r="V90" s="207"/>
      <c r="W90" s="208" t="str">
        <f t="shared" si="56"/>
        <v/>
      </c>
      <c r="X90" s="207"/>
      <c r="Y90" s="208" t="str">
        <f t="shared" si="57"/>
        <v/>
      </c>
      <c r="Z90" s="207"/>
      <c r="AA90" s="208" t="str">
        <f t="shared" si="58"/>
        <v/>
      </c>
      <c r="AB90" s="207"/>
      <c r="AC90" s="208" t="str">
        <f t="shared" si="59"/>
        <v/>
      </c>
      <c r="AD90" s="207"/>
      <c r="AE90" s="208" t="str">
        <f t="shared" si="60"/>
        <v/>
      </c>
      <c r="AF90" s="270" t="str">
        <f t="shared" si="61"/>
        <v/>
      </c>
      <c r="AG90" s="270" t="str">
        <f t="shared" si="62"/>
        <v/>
      </c>
      <c r="AH90" s="209"/>
      <c r="AI90" s="210" t="str">
        <f t="shared" si="63"/>
        <v>Débil</v>
      </c>
      <c r="AJ90" s="211" t="str">
        <f>IFERROR(VLOOKUP((CONCATENATE(AG90,AI90)),Listados!$U$3:$V$11,2,FALSE),"")</f>
        <v/>
      </c>
      <c r="AK90" s="270">
        <f t="shared" si="64"/>
        <v>100</v>
      </c>
      <c r="AL90" s="448"/>
      <c r="AM90" s="449"/>
      <c r="AN90" s="269">
        <f>+IF(AND(Q90="Preventivo",AM85="Fuerte"),2,IF(AND(Q90="Preventivo",AM85="Moderado"),1,0))</f>
        <v>0</v>
      </c>
      <c r="AO90" s="269">
        <f t="shared" si="65"/>
        <v>0</v>
      </c>
      <c r="AP90" s="212">
        <f>+K85-AN90</f>
        <v>2</v>
      </c>
      <c r="AQ90" s="212">
        <f>+M85-AO90</f>
        <v>4</v>
      </c>
      <c r="AR90" s="434"/>
      <c r="AS90" s="434"/>
      <c r="AT90" s="434"/>
      <c r="AU90" s="434"/>
      <c r="AV90" s="595"/>
      <c r="AW90" s="595"/>
      <c r="AX90" s="598"/>
      <c r="AY90" s="598"/>
      <c r="AZ90" s="595"/>
      <c r="BA90" s="595"/>
      <c r="BB90" s="605"/>
      <c r="BC90" s="653"/>
      <c r="BD90" s="431"/>
      <c r="BE90" s="558"/>
      <c r="BF90" s="550"/>
      <c r="BG90" s="550"/>
    </row>
    <row r="91" spans="1:59" ht="140">
      <c r="A91" s="436">
        <v>16</v>
      </c>
      <c r="B91" s="439" t="s">
        <v>71</v>
      </c>
      <c r="C91" s="500" t="str">
        <f>IFERROR(VLOOKUP(B91,Listados!B$3:C$20,2,FALSE),"")</f>
        <v>Formularlos criterios,parámetros o lineamientos generales elegidos para abordar las prioridades de la agenda pública en materia de justicia y del derecho y orientar las decisiones respecto a una necesidad o situación de interés público en las materias de competencia del sector de Justicia y del Derecho;hacer seguimiento a las acciones definidas para su implementación o desarrollo y efectuar los ajustes que se requieran.</v>
      </c>
      <c r="D91" s="502" t="s">
        <v>1287</v>
      </c>
      <c r="E91" s="149" t="s">
        <v>15</v>
      </c>
      <c r="F91" s="149" t="s">
        <v>177</v>
      </c>
      <c r="G91" s="137" t="s">
        <v>267</v>
      </c>
      <c r="H91" s="137" t="s">
        <v>16</v>
      </c>
      <c r="I91" s="137" t="s">
        <v>268</v>
      </c>
      <c r="J91" s="495" t="s">
        <v>44</v>
      </c>
      <c r="K91" s="466">
        <f>+VLOOKUP(J91,Listados!$K$8:$L$12,2,0)</f>
        <v>3</v>
      </c>
      <c r="L91" s="477" t="s">
        <v>64</v>
      </c>
      <c r="M91" s="466">
        <f>+VLOOKUP(L91,Listados!$K$13:$L$17,2,0)</f>
        <v>5</v>
      </c>
      <c r="N91" s="496" t="str">
        <f>IF(AND(J91&lt;&gt;"",L91&lt;&gt;""),VLOOKUP(J91&amp;L91,Listados!$M$3:$N$27,2,FALSE),"")</f>
        <v>Extremo</v>
      </c>
      <c r="O91" s="137" t="s">
        <v>269</v>
      </c>
      <c r="P91" s="149" t="s">
        <v>270</v>
      </c>
      <c r="Q91" s="137" t="s">
        <v>20</v>
      </c>
      <c r="R91" s="207" t="s">
        <v>116</v>
      </c>
      <c r="S91" s="208">
        <f t="shared" si="54"/>
        <v>15</v>
      </c>
      <c r="T91" s="207" t="s">
        <v>257</v>
      </c>
      <c r="U91" s="208">
        <f t="shared" si="55"/>
        <v>15</v>
      </c>
      <c r="V91" s="207" t="s">
        <v>257</v>
      </c>
      <c r="W91" s="208">
        <f t="shared" si="56"/>
        <v>15</v>
      </c>
      <c r="X91" s="207" t="s">
        <v>20</v>
      </c>
      <c r="Y91" s="208">
        <f t="shared" si="57"/>
        <v>15</v>
      </c>
      <c r="Z91" s="207" t="s">
        <v>257</v>
      </c>
      <c r="AA91" s="208">
        <f t="shared" si="58"/>
        <v>15</v>
      </c>
      <c r="AB91" s="207" t="s">
        <v>257</v>
      </c>
      <c r="AC91" s="208">
        <f t="shared" si="59"/>
        <v>15</v>
      </c>
      <c r="AD91" s="207" t="s">
        <v>117</v>
      </c>
      <c r="AE91" s="208">
        <f t="shared" si="60"/>
        <v>10</v>
      </c>
      <c r="AF91" s="270">
        <f t="shared" si="61"/>
        <v>100</v>
      </c>
      <c r="AG91" s="270" t="str">
        <f t="shared" si="62"/>
        <v>Fuerte</v>
      </c>
      <c r="AH91" s="209" t="s">
        <v>118</v>
      </c>
      <c r="AI91" s="210" t="str">
        <f t="shared" si="63"/>
        <v>Fuerte</v>
      </c>
      <c r="AJ91" s="211" t="str">
        <f>IFERROR(VLOOKUP((CONCATENATE(AG91,AI91)),Listados!$U$3:$V$11,2,FALSE),"")</f>
        <v>Fuerte</v>
      </c>
      <c r="AK91" s="270">
        <f t="shared" si="64"/>
        <v>100</v>
      </c>
      <c r="AL91" s="446">
        <f>AVERAGE(AK91:AK96)</f>
        <v>100</v>
      </c>
      <c r="AM91" s="448" t="str">
        <f>IF(AL91&lt;=50, "Débil", IF(AL91&lt;=99,"Moderado","Fuerte"))</f>
        <v>Fuerte</v>
      </c>
      <c r="AN91" s="269">
        <f>+IF(AND(Q91="Preventivo",AM91="Fuerte"),2,IF(AND(Q91="Preventivo",AM91="Moderado"),1,0))</f>
        <v>2</v>
      </c>
      <c r="AO91" s="269">
        <f t="shared" si="65"/>
        <v>0</v>
      </c>
      <c r="AP91" s="212">
        <f>+K91-AN91</f>
        <v>1</v>
      </c>
      <c r="AQ91" s="212">
        <f>+M91-AO91</f>
        <v>5</v>
      </c>
      <c r="AR91" s="435" t="str">
        <f>+VLOOKUP(MIN(AP91,AP92,AP93,AP94,AP95,AP96),Listados!$J$18:$K$24,2,TRUE)</f>
        <v>Rara Vez</v>
      </c>
      <c r="AS91" s="435" t="str">
        <f>+VLOOKUP(MIN(AQ91,AQ92,AQ93,AQ94,AQ95,AQ96),Listados!$J$27:$K$32,2,TRUE)</f>
        <v>Catastrófico</v>
      </c>
      <c r="AT91" s="435" t="str">
        <f>IF(AND(AR91&lt;&gt;"",AS91&lt;&gt;""),VLOOKUP(AR91&amp;AS91,Listados!$M$3:$N$27,2,FALSE),"")</f>
        <v>Extremo</v>
      </c>
      <c r="AU91" s="435" t="str">
        <f>+VLOOKUP(AT91,Listados!$P$3:$Q$6,2,FALSE)</f>
        <v>Evitar el riesgo</v>
      </c>
      <c r="AV91" s="585" t="s">
        <v>1211</v>
      </c>
      <c r="AW91" s="585" t="s">
        <v>1212</v>
      </c>
      <c r="AX91" s="586" t="s">
        <v>1213</v>
      </c>
      <c r="AY91" s="586">
        <v>44926</v>
      </c>
      <c r="AZ91" s="585" t="s">
        <v>1214</v>
      </c>
      <c r="BA91" s="585" t="s">
        <v>1065</v>
      </c>
      <c r="BB91" s="589" t="s">
        <v>1473</v>
      </c>
      <c r="BC91" s="585" t="s">
        <v>1600</v>
      </c>
      <c r="BD91" s="585"/>
      <c r="BE91" s="556" t="s">
        <v>1808</v>
      </c>
      <c r="BF91" s="585" t="s">
        <v>1813</v>
      </c>
      <c r="BG91" s="585"/>
    </row>
    <row r="92" spans="1:59" ht="140">
      <c r="A92" s="437"/>
      <c r="B92" s="439"/>
      <c r="C92" s="500"/>
      <c r="D92" s="502"/>
      <c r="E92" s="149"/>
      <c r="F92" s="149" t="s">
        <v>271</v>
      </c>
      <c r="G92" s="137" t="s">
        <v>272</v>
      </c>
      <c r="H92" s="137" t="s">
        <v>30</v>
      </c>
      <c r="I92" s="137" t="s">
        <v>273</v>
      </c>
      <c r="J92" s="495"/>
      <c r="K92" s="467"/>
      <c r="L92" s="478"/>
      <c r="M92" s="467"/>
      <c r="N92" s="497"/>
      <c r="O92" s="137" t="s">
        <v>274</v>
      </c>
      <c r="P92" s="149" t="s">
        <v>272</v>
      </c>
      <c r="Q92" s="137" t="s">
        <v>123</v>
      </c>
      <c r="R92" s="207" t="s">
        <v>116</v>
      </c>
      <c r="S92" s="208">
        <f t="shared" si="54"/>
        <v>15</v>
      </c>
      <c r="T92" s="207" t="s">
        <v>257</v>
      </c>
      <c r="U92" s="208">
        <f t="shared" si="55"/>
        <v>15</v>
      </c>
      <c r="V92" s="207" t="s">
        <v>257</v>
      </c>
      <c r="W92" s="208">
        <f t="shared" si="56"/>
        <v>15</v>
      </c>
      <c r="X92" s="207" t="s">
        <v>20</v>
      </c>
      <c r="Y92" s="208">
        <f t="shared" si="57"/>
        <v>15</v>
      </c>
      <c r="Z92" s="207" t="s">
        <v>257</v>
      </c>
      <c r="AA92" s="208">
        <f t="shared" si="58"/>
        <v>15</v>
      </c>
      <c r="AB92" s="207" t="s">
        <v>257</v>
      </c>
      <c r="AC92" s="208">
        <f t="shared" si="59"/>
        <v>15</v>
      </c>
      <c r="AD92" s="207" t="s">
        <v>117</v>
      </c>
      <c r="AE92" s="208">
        <f t="shared" si="60"/>
        <v>10</v>
      </c>
      <c r="AF92" s="270">
        <f t="shared" si="61"/>
        <v>100</v>
      </c>
      <c r="AG92" s="270" t="str">
        <f t="shared" si="62"/>
        <v>Fuerte</v>
      </c>
      <c r="AH92" s="209" t="s">
        <v>118</v>
      </c>
      <c r="AI92" s="210" t="str">
        <f t="shared" si="63"/>
        <v>Fuerte</v>
      </c>
      <c r="AJ92" s="211" t="str">
        <f>IFERROR(VLOOKUP((CONCATENATE(AG92,AI92)),Listados!$U$3:$V$11,2,FALSE),"")</f>
        <v>Fuerte</v>
      </c>
      <c r="AK92" s="270">
        <f t="shared" si="64"/>
        <v>100</v>
      </c>
      <c r="AL92" s="447"/>
      <c r="AM92" s="449"/>
      <c r="AN92" s="269">
        <f>+IF(AND(Q92="Preventivo",AM91="Fuerte"),2,IF(AND(Q92="Preventivo",AM91="Moderado"),1,0))</f>
        <v>0</v>
      </c>
      <c r="AO92" s="269">
        <f t="shared" si="65"/>
        <v>0</v>
      </c>
      <c r="AP92" s="212">
        <f>+K91-AN92</f>
        <v>3</v>
      </c>
      <c r="AQ92" s="212">
        <f>+M91-AO92</f>
        <v>5</v>
      </c>
      <c r="AR92" s="433"/>
      <c r="AS92" s="433"/>
      <c r="AT92" s="433"/>
      <c r="AU92" s="433"/>
      <c r="AV92" s="562"/>
      <c r="AW92" s="562"/>
      <c r="AX92" s="587"/>
      <c r="AY92" s="587"/>
      <c r="AZ92" s="562"/>
      <c r="BA92" s="562"/>
      <c r="BB92" s="590"/>
      <c r="BC92" s="562"/>
      <c r="BD92" s="562"/>
      <c r="BE92" s="557"/>
      <c r="BF92" s="562"/>
      <c r="BG92" s="562"/>
    </row>
    <row r="93" spans="1:59" ht="126">
      <c r="A93" s="437"/>
      <c r="B93" s="439"/>
      <c r="C93" s="500"/>
      <c r="D93" s="502"/>
      <c r="E93" s="149"/>
      <c r="F93" s="149" t="s">
        <v>275</v>
      </c>
      <c r="G93" s="137" t="s">
        <v>276</v>
      </c>
      <c r="H93" s="137" t="s">
        <v>16</v>
      </c>
      <c r="I93" s="137" t="s">
        <v>277</v>
      </c>
      <c r="J93" s="495"/>
      <c r="K93" s="467"/>
      <c r="L93" s="478"/>
      <c r="M93" s="467"/>
      <c r="N93" s="497"/>
      <c r="O93" s="137" t="s">
        <v>1230</v>
      </c>
      <c r="P93" s="149" t="s">
        <v>276</v>
      </c>
      <c r="Q93" s="137" t="s">
        <v>20</v>
      </c>
      <c r="R93" s="207" t="s">
        <v>116</v>
      </c>
      <c r="S93" s="208">
        <f t="shared" si="54"/>
        <v>15</v>
      </c>
      <c r="T93" s="207" t="s">
        <v>257</v>
      </c>
      <c r="U93" s="208">
        <f t="shared" si="55"/>
        <v>15</v>
      </c>
      <c r="V93" s="207" t="s">
        <v>257</v>
      </c>
      <c r="W93" s="208">
        <f t="shared" si="56"/>
        <v>15</v>
      </c>
      <c r="X93" s="207" t="s">
        <v>20</v>
      </c>
      <c r="Y93" s="208">
        <f t="shared" si="57"/>
        <v>15</v>
      </c>
      <c r="Z93" s="207" t="s">
        <v>257</v>
      </c>
      <c r="AA93" s="208">
        <f t="shared" si="58"/>
        <v>15</v>
      </c>
      <c r="AB93" s="207" t="s">
        <v>257</v>
      </c>
      <c r="AC93" s="208">
        <f t="shared" si="59"/>
        <v>15</v>
      </c>
      <c r="AD93" s="207" t="s">
        <v>117</v>
      </c>
      <c r="AE93" s="208">
        <f t="shared" si="60"/>
        <v>10</v>
      </c>
      <c r="AF93" s="270">
        <f t="shared" si="61"/>
        <v>100</v>
      </c>
      <c r="AG93" s="270" t="str">
        <f t="shared" si="62"/>
        <v>Fuerte</v>
      </c>
      <c r="AH93" s="209" t="s">
        <v>118</v>
      </c>
      <c r="AI93" s="210" t="str">
        <f t="shared" si="63"/>
        <v>Fuerte</v>
      </c>
      <c r="AJ93" s="211" t="str">
        <f>IFERROR(VLOOKUP((CONCATENATE(AG93,AI93)),Listados!$U$3:$V$11,2,FALSE),"")</f>
        <v>Fuerte</v>
      </c>
      <c r="AK93" s="270">
        <f t="shared" si="64"/>
        <v>100</v>
      </c>
      <c r="AL93" s="447"/>
      <c r="AM93" s="449"/>
      <c r="AN93" s="269">
        <f>+IF(AND(Q93="Preventivo",AM91="Fuerte"),2,IF(AND(Q93="Preventivo",AM91="Moderado"),1,0))</f>
        <v>2</v>
      </c>
      <c r="AO93" s="269">
        <f t="shared" si="65"/>
        <v>0</v>
      </c>
      <c r="AP93" s="212">
        <f>+K91-AN93</f>
        <v>1</v>
      </c>
      <c r="AQ93" s="212">
        <f>+M91-AO93</f>
        <v>5</v>
      </c>
      <c r="AR93" s="433"/>
      <c r="AS93" s="433"/>
      <c r="AT93" s="433"/>
      <c r="AU93" s="433"/>
      <c r="AV93" s="562"/>
      <c r="AW93" s="562"/>
      <c r="AX93" s="587"/>
      <c r="AY93" s="587"/>
      <c r="AZ93" s="562"/>
      <c r="BA93" s="562"/>
      <c r="BB93" s="590"/>
      <c r="BC93" s="562"/>
      <c r="BD93" s="562"/>
      <c r="BE93" s="557"/>
      <c r="BF93" s="562"/>
      <c r="BG93" s="562"/>
    </row>
    <row r="94" spans="1:59" ht="42">
      <c r="A94" s="437"/>
      <c r="B94" s="439"/>
      <c r="C94" s="500"/>
      <c r="D94" s="502"/>
      <c r="E94" s="149"/>
      <c r="F94" s="149" t="s">
        <v>278</v>
      </c>
      <c r="G94" s="137"/>
      <c r="H94" s="137"/>
      <c r="I94" s="137"/>
      <c r="J94" s="495"/>
      <c r="K94" s="467"/>
      <c r="L94" s="478"/>
      <c r="M94" s="467"/>
      <c r="N94" s="497"/>
      <c r="O94" s="149"/>
      <c r="P94" s="137"/>
      <c r="Q94" s="137"/>
      <c r="R94" s="231"/>
      <c r="S94" s="208" t="str">
        <f t="shared" si="54"/>
        <v/>
      </c>
      <c r="T94" s="231"/>
      <c r="U94" s="208" t="str">
        <f t="shared" si="55"/>
        <v/>
      </c>
      <c r="V94" s="207"/>
      <c r="W94" s="208" t="str">
        <f t="shared" si="56"/>
        <v/>
      </c>
      <c r="X94" s="207"/>
      <c r="Y94" s="208" t="str">
        <f t="shared" si="57"/>
        <v/>
      </c>
      <c r="Z94" s="207"/>
      <c r="AA94" s="208" t="str">
        <f t="shared" si="58"/>
        <v/>
      </c>
      <c r="AB94" s="207"/>
      <c r="AC94" s="208" t="str">
        <f t="shared" si="59"/>
        <v/>
      </c>
      <c r="AD94" s="207"/>
      <c r="AE94" s="208" t="str">
        <f t="shared" si="60"/>
        <v/>
      </c>
      <c r="AF94" s="270" t="str">
        <f t="shared" si="61"/>
        <v/>
      </c>
      <c r="AG94" s="270" t="str">
        <f t="shared" si="62"/>
        <v/>
      </c>
      <c r="AH94" s="209"/>
      <c r="AI94" s="210" t="str">
        <f t="shared" si="63"/>
        <v>Débil</v>
      </c>
      <c r="AJ94" s="211" t="str">
        <f>IFERROR(VLOOKUP((CONCATENATE(AG94,AI94)),Listados!$U$3:$V$11,2,FALSE),"")</f>
        <v/>
      </c>
      <c r="AK94" s="270">
        <f t="shared" si="64"/>
        <v>100</v>
      </c>
      <c r="AL94" s="447"/>
      <c r="AM94" s="449"/>
      <c r="AN94" s="269">
        <f>+IF(AND(Q94="Preventivo",AM91="Fuerte"),2,IF(AND(Q94="Preventivo",AM91="Moderado"),1,0))</f>
        <v>0</v>
      </c>
      <c r="AO94" s="269">
        <f t="shared" si="65"/>
        <v>0</v>
      </c>
      <c r="AP94" s="212">
        <f>+K91-AN94</f>
        <v>3</v>
      </c>
      <c r="AQ94" s="212">
        <f>+M91-AO94</f>
        <v>5</v>
      </c>
      <c r="AR94" s="433"/>
      <c r="AS94" s="433"/>
      <c r="AT94" s="433"/>
      <c r="AU94" s="433"/>
      <c r="AV94" s="562"/>
      <c r="AW94" s="562"/>
      <c r="AX94" s="587"/>
      <c r="AY94" s="587"/>
      <c r="AZ94" s="562"/>
      <c r="BA94" s="562"/>
      <c r="BB94" s="590"/>
      <c r="BC94" s="562"/>
      <c r="BD94" s="562"/>
      <c r="BE94" s="557"/>
      <c r="BF94" s="562"/>
      <c r="BG94" s="562"/>
    </row>
    <row r="95" spans="1:59" ht="14.15" customHeight="1">
      <c r="A95" s="437"/>
      <c r="B95" s="439"/>
      <c r="C95" s="500"/>
      <c r="D95" s="502"/>
      <c r="E95" s="149"/>
      <c r="F95" s="149"/>
      <c r="G95" s="137"/>
      <c r="H95" s="137"/>
      <c r="I95" s="137"/>
      <c r="J95" s="495"/>
      <c r="K95" s="467"/>
      <c r="L95" s="478"/>
      <c r="M95" s="467"/>
      <c r="N95" s="497"/>
      <c r="O95" s="149"/>
      <c r="P95" s="137"/>
      <c r="Q95" s="137"/>
      <c r="R95" s="231"/>
      <c r="S95" s="208" t="str">
        <f t="shared" si="54"/>
        <v/>
      </c>
      <c r="T95" s="231"/>
      <c r="U95" s="208" t="str">
        <f t="shared" si="55"/>
        <v/>
      </c>
      <c r="V95" s="207"/>
      <c r="W95" s="208" t="str">
        <f t="shared" si="56"/>
        <v/>
      </c>
      <c r="X95" s="207"/>
      <c r="Y95" s="208" t="str">
        <f t="shared" si="57"/>
        <v/>
      </c>
      <c r="Z95" s="207"/>
      <c r="AA95" s="208" t="str">
        <f t="shared" si="58"/>
        <v/>
      </c>
      <c r="AB95" s="207"/>
      <c r="AC95" s="208" t="str">
        <f t="shared" si="59"/>
        <v/>
      </c>
      <c r="AD95" s="207"/>
      <c r="AE95" s="208" t="str">
        <f t="shared" si="60"/>
        <v/>
      </c>
      <c r="AF95" s="270" t="str">
        <f t="shared" si="61"/>
        <v/>
      </c>
      <c r="AG95" s="270" t="str">
        <f t="shared" si="62"/>
        <v/>
      </c>
      <c r="AH95" s="209"/>
      <c r="AI95" s="210" t="str">
        <f t="shared" si="63"/>
        <v>Débil</v>
      </c>
      <c r="AJ95" s="211" t="str">
        <f>IFERROR(VLOOKUP((CONCATENATE(AG95,AI95)),Listados!$U$3:$V$11,2,FALSE),"")</f>
        <v/>
      </c>
      <c r="AK95" s="270">
        <f t="shared" si="64"/>
        <v>100</v>
      </c>
      <c r="AL95" s="447"/>
      <c r="AM95" s="449"/>
      <c r="AN95" s="269">
        <f>+IF(AND(Q95="Preventivo",AM91="Fuerte"),2,IF(AND(Q95="Preventivo",AM91="Moderado"),1,0))</f>
        <v>0</v>
      </c>
      <c r="AO95" s="269">
        <f t="shared" si="65"/>
        <v>0</v>
      </c>
      <c r="AP95" s="212">
        <f>+K91-AN95</f>
        <v>3</v>
      </c>
      <c r="AQ95" s="212">
        <f>+M91-AO95</f>
        <v>5</v>
      </c>
      <c r="AR95" s="433"/>
      <c r="AS95" s="433"/>
      <c r="AT95" s="433"/>
      <c r="AU95" s="433"/>
      <c r="AV95" s="562"/>
      <c r="AW95" s="562"/>
      <c r="AX95" s="587"/>
      <c r="AY95" s="587"/>
      <c r="AZ95" s="562"/>
      <c r="BA95" s="562"/>
      <c r="BB95" s="590"/>
      <c r="BC95" s="562"/>
      <c r="BD95" s="562"/>
      <c r="BE95" s="557"/>
      <c r="BF95" s="562"/>
      <c r="BG95" s="562"/>
    </row>
    <row r="96" spans="1:59" ht="14.5" customHeight="1" thickBot="1">
      <c r="A96" s="438"/>
      <c r="B96" s="439"/>
      <c r="C96" s="500"/>
      <c r="D96" s="502"/>
      <c r="E96" s="149"/>
      <c r="F96" s="149"/>
      <c r="G96" s="137"/>
      <c r="H96" s="137"/>
      <c r="I96" s="137"/>
      <c r="J96" s="495"/>
      <c r="K96" s="468"/>
      <c r="L96" s="478"/>
      <c r="M96" s="468"/>
      <c r="N96" s="497"/>
      <c r="O96" s="149"/>
      <c r="P96" s="137"/>
      <c r="Q96" s="137"/>
      <c r="R96" s="231"/>
      <c r="S96" s="208" t="str">
        <f t="shared" si="54"/>
        <v/>
      </c>
      <c r="T96" s="231"/>
      <c r="U96" s="208" t="str">
        <f t="shared" si="55"/>
        <v/>
      </c>
      <c r="V96" s="207"/>
      <c r="W96" s="208" t="str">
        <f t="shared" si="56"/>
        <v/>
      </c>
      <c r="X96" s="207"/>
      <c r="Y96" s="208" t="str">
        <f t="shared" si="57"/>
        <v/>
      </c>
      <c r="Z96" s="207"/>
      <c r="AA96" s="208" t="str">
        <f t="shared" si="58"/>
        <v/>
      </c>
      <c r="AB96" s="207"/>
      <c r="AC96" s="208" t="str">
        <f t="shared" si="59"/>
        <v/>
      </c>
      <c r="AD96" s="207"/>
      <c r="AE96" s="208" t="str">
        <f t="shared" si="60"/>
        <v/>
      </c>
      <c r="AF96" s="270" t="str">
        <f t="shared" si="61"/>
        <v/>
      </c>
      <c r="AG96" s="270" t="str">
        <f t="shared" si="62"/>
        <v/>
      </c>
      <c r="AH96" s="209"/>
      <c r="AI96" s="210" t="str">
        <f t="shared" si="63"/>
        <v>Débil</v>
      </c>
      <c r="AJ96" s="211" t="str">
        <f>IFERROR(VLOOKUP((CONCATENATE(AG96,AI96)),Listados!$U$3:$V$11,2,FALSE),"")</f>
        <v/>
      </c>
      <c r="AK96" s="270">
        <f t="shared" si="64"/>
        <v>100</v>
      </c>
      <c r="AL96" s="448"/>
      <c r="AM96" s="449"/>
      <c r="AN96" s="269">
        <f>+IF(AND(Q96="Preventivo",AM91="Fuerte"),2,IF(AND(Q96="Preventivo",AM91="Moderado"),1,0))</f>
        <v>0</v>
      </c>
      <c r="AO96" s="269">
        <f t="shared" si="65"/>
        <v>0</v>
      </c>
      <c r="AP96" s="212">
        <f>+K91-AN96</f>
        <v>3</v>
      </c>
      <c r="AQ96" s="212">
        <f>+M91-AO96</f>
        <v>5</v>
      </c>
      <c r="AR96" s="434"/>
      <c r="AS96" s="434"/>
      <c r="AT96" s="434"/>
      <c r="AU96" s="434"/>
      <c r="AV96" s="563"/>
      <c r="AW96" s="563"/>
      <c r="AX96" s="588"/>
      <c r="AY96" s="588"/>
      <c r="AZ96" s="563"/>
      <c r="BA96" s="563"/>
      <c r="BB96" s="591"/>
      <c r="BC96" s="563"/>
      <c r="BD96" s="563"/>
      <c r="BE96" s="558"/>
      <c r="BF96" s="563"/>
      <c r="BG96" s="563"/>
    </row>
    <row r="97" spans="1:59" ht="249" customHeight="1">
      <c r="A97" s="436">
        <v>17</v>
      </c>
      <c r="B97" s="439" t="s">
        <v>92</v>
      </c>
      <c r="C97" s="500" t="str">
        <f>IFERROR(VLOOKUP(B97,Listados!B$3:C$20,2,FALSE),"")</f>
        <v>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v>
      </c>
      <c r="D97" s="502" t="s">
        <v>1366</v>
      </c>
      <c r="E97" s="149" t="s">
        <v>52</v>
      </c>
      <c r="F97" s="333" t="s">
        <v>189</v>
      </c>
      <c r="G97" s="248" t="s">
        <v>1367</v>
      </c>
      <c r="H97" s="248" t="s">
        <v>30</v>
      </c>
      <c r="I97" s="330" t="s">
        <v>280</v>
      </c>
      <c r="J97" s="495" t="s">
        <v>21</v>
      </c>
      <c r="K97" s="466">
        <f>+VLOOKUP(J97,Listados!$K$8:$L$12,2,0)</f>
        <v>1</v>
      </c>
      <c r="L97" s="477" t="s">
        <v>36</v>
      </c>
      <c r="M97" s="466">
        <f>+VLOOKUP(L97,Listados!$K$13:$L$17,2,0)</f>
        <v>3</v>
      </c>
      <c r="N97" s="496" t="str">
        <f>IF(AND(J97&lt;&gt;"",L97&lt;&gt;""),VLOOKUP(J97&amp;L97,Listados!$M$3:$N$27,2,FALSE),"")</f>
        <v>Moderado</v>
      </c>
      <c r="O97" s="331" t="s">
        <v>281</v>
      </c>
      <c r="P97" s="331" t="s">
        <v>279</v>
      </c>
      <c r="Q97" s="229" t="s">
        <v>123</v>
      </c>
      <c r="R97" s="207" t="s">
        <v>116</v>
      </c>
      <c r="S97" s="208">
        <f t="shared" si="54"/>
        <v>15</v>
      </c>
      <c r="T97" s="207" t="s">
        <v>257</v>
      </c>
      <c r="U97" s="208">
        <f t="shared" si="55"/>
        <v>15</v>
      </c>
      <c r="V97" s="207" t="s">
        <v>257</v>
      </c>
      <c r="W97" s="208">
        <f t="shared" si="56"/>
        <v>15</v>
      </c>
      <c r="X97" s="207" t="s">
        <v>123</v>
      </c>
      <c r="Y97" s="208">
        <f t="shared" si="57"/>
        <v>10</v>
      </c>
      <c r="Z97" s="207" t="s">
        <v>257</v>
      </c>
      <c r="AA97" s="208">
        <f t="shared" si="58"/>
        <v>15</v>
      </c>
      <c r="AB97" s="207" t="s">
        <v>257</v>
      </c>
      <c r="AC97" s="208">
        <f t="shared" si="59"/>
        <v>15</v>
      </c>
      <c r="AD97" s="207" t="s">
        <v>117</v>
      </c>
      <c r="AE97" s="208">
        <f t="shared" si="60"/>
        <v>10</v>
      </c>
      <c r="AF97" s="270">
        <f t="shared" si="61"/>
        <v>95</v>
      </c>
      <c r="AG97" s="270" t="str">
        <f t="shared" si="62"/>
        <v>Moderado</v>
      </c>
      <c r="AH97" s="209" t="s">
        <v>118</v>
      </c>
      <c r="AI97" s="210" t="str">
        <f t="shared" si="63"/>
        <v>Fuerte</v>
      </c>
      <c r="AJ97" s="211" t="str">
        <f>IFERROR(VLOOKUP((CONCATENATE(AG97,AI97)),Listados!$U$3:$V$11,2,FALSE),"")</f>
        <v>Moderado</v>
      </c>
      <c r="AK97" s="270">
        <f t="shared" si="64"/>
        <v>50</v>
      </c>
      <c r="AL97" s="446">
        <f>AVERAGE(AK97:AK102)</f>
        <v>83.333333333333329</v>
      </c>
      <c r="AM97" s="448" t="str">
        <f>IF(AL97&lt;=50, "Débil", IF(AL97&lt;=99,"Moderado","Fuerte"))</f>
        <v>Moderado</v>
      </c>
      <c r="AN97" s="269">
        <f>+IF(AND(Q97="Preventivo",AM97="Fuerte"),2,IF(AND(Q97="Preventivo",AM97="Moderado"),1,0))</f>
        <v>0</v>
      </c>
      <c r="AO97" s="269">
        <f t="shared" si="65"/>
        <v>0</v>
      </c>
      <c r="AP97" s="212">
        <f>+K97-AN97</f>
        <v>1</v>
      </c>
      <c r="AQ97" s="212">
        <f>+M97-AO97</f>
        <v>3</v>
      </c>
      <c r="AR97" s="435" t="str">
        <f>+VLOOKUP(MIN(AP97,AP98,AP99,AP100,AP101,AP102),Listados!$J$18:$K$24,2,TRUE)</f>
        <v>Rara Vez</v>
      </c>
      <c r="AS97" s="435" t="str">
        <f>+VLOOKUP(MIN(AQ97,AQ98,AQ99,AQ100,AQ101,AQ102),Listados!$J$27:$K$32,2,TRUE)</f>
        <v>Moderado</v>
      </c>
      <c r="AT97" s="435" t="str">
        <f>IF(AND(AR97&lt;&gt;"",AS97&lt;&gt;""),VLOOKUP(AR97&amp;AS97,Listados!$M$3:$N$27,2,FALSE),"")</f>
        <v>Moderado</v>
      </c>
      <c r="AU97" s="435" t="str">
        <f>+VLOOKUP(AT97,Listados!$P$3:$Q$6,2,FALSE)</f>
        <v xml:space="preserve"> Reducir el riesgo</v>
      </c>
      <c r="AV97" s="334" t="s">
        <v>1051</v>
      </c>
      <c r="AW97" s="334" t="s">
        <v>1052</v>
      </c>
      <c r="AX97" s="335">
        <v>44927</v>
      </c>
      <c r="AY97" s="335">
        <v>45291</v>
      </c>
      <c r="AZ97" s="334" t="s">
        <v>1053</v>
      </c>
      <c r="BA97" s="334" t="s">
        <v>1054</v>
      </c>
      <c r="BB97" s="367" t="s">
        <v>1430</v>
      </c>
      <c r="BC97" s="282" t="s">
        <v>1636</v>
      </c>
      <c r="BD97" s="200"/>
      <c r="BE97" s="592" t="s">
        <v>1517</v>
      </c>
      <c r="BF97" s="711" t="s">
        <v>1814</v>
      </c>
      <c r="BG97" s="200"/>
    </row>
    <row r="98" spans="1:59" ht="159.75" customHeight="1">
      <c r="A98" s="437"/>
      <c r="B98" s="439"/>
      <c r="C98" s="500"/>
      <c r="D98" s="502"/>
      <c r="E98" s="149"/>
      <c r="F98" s="333"/>
      <c r="G98" s="248" t="s">
        <v>1368</v>
      </c>
      <c r="H98" s="248" t="s">
        <v>16</v>
      </c>
      <c r="I98" s="330" t="s">
        <v>283</v>
      </c>
      <c r="J98" s="495"/>
      <c r="K98" s="467"/>
      <c r="L98" s="478"/>
      <c r="M98" s="467"/>
      <c r="N98" s="497"/>
      <c r="O98" s="330" t="s">
        <v>284</v>
      </c>
      <c r="P98" s="331" t="s">
        <v>279</v>
      </c>
      <c r="Q98" s="229" t="s">
        <v>123</v>
      </c>
      <c r="R98" s="207" t="s">
        <v>116</v>
      </c>
      <c r="S98" s="208">
        <f t="shared" si="54"/>
        <v>15</v>
      </c>
      <c r="T98" s="207" t="s">
        <v>257</v>
      </c>
      <c r="U98" s="208">
        <f t="shared" si="55"/>
        <v>15</v>
      </c>
      <c r="V98" s="207" t="s">
        <v>257</v>
      </c>
      <c r="W98" s="208">
        <f t="shared" si="56"/>
        <v>15</v>
      </c>
      <c r="X98" s="207" t="s">
        <v>20</v>
      </c>
      <c r="Y98" s="208">
        <f t="shared" si="57"/>
        <v>15</v>
      </c>
      <c r="Z98" s="207" t="s">
        <v>257</v>
      </c>
      <c r="AA98" s="208">
        <f t="shared" si="58"/>
        <v>15</v>
      </c>
      <c r="AB98" s="207" t="s">
        <v>257</v>
      </c>
      <c r="AC98" s="208">
        <f t="shared" si="59"/>
        <v>15</v>
      </c>
      <c r="AD98" s="207" t="s">
        <v>117</v>
      </c>
      <c r="AE98" s="208">
        <f t="shared" si="60"/>
        <v>10</v>
      </c>
      <c r="AF98" s="270">
        <f t="shared" si="61"/>
        <v>100</v>
      </c>
      <c r="AG98" s="270" t="str">
        <f t="shared" si="62"/>
        <v>Fuerte</v>
      </c>
      <c r="AH98" s="209" t="s">
        <v>118</v>
      </c>
      <c r="AI98" s="210" t="str">
        <f t="shared" si="63"/>
        <v>Fuerte</v>
      </c>
      <c r="AJ98" s="211" t="str">
        <f>IFERROR(VLOOKUP((CONCATENATE(AG98,AI98)),Listados!$U$3:$V$11,2,FALSE),"")</f>
        <v>Fuerte</v>
      </c>
      <c r="AK98" s="270">
        <f t="shared" si="64"/>
        <v>100</v>
      </c>
      <c r="AL98" s="447"/>
      <c r="AM98" s="449"/>
      <c r="AN98" s="269">
        <f>+IF(AND(Q98="Preventivo",AM97="Fuerte"),2,IF(AND(Q98="Preventivo",AM97="Moderado"),1,0))</f>
        <v>0</v>
      </c>
      <c r="AO98" s="269">
        <f t="shared" si="65"/>
        <v>0</v>
      </c>
      <c r="AP98" s="212">
        <f>+K97-AN98</f>
        <v>1</v>
      </c>
      <c r="AQ98" s="212">
        <f>+M97-AO98</f>
        <v>3</v>
      </c>
      <c r="AR98" s="433"/>
      <c r="AS98" s="433"/>
      <c r="AT98" s="433"/>
      <c r="AU98" s="433"/>
      <c r="AV98" s="334" t="s">
        <v>1055</v>
      </c>
      <c r="AW98" s="336" t="s">
        <v>1052</v>
      </c>
      <c r="AX98" s="335">
        <v>44927</v>
      </c>
      <c r="AY98" s="335">
        <v>45291</v>
      </c>
      <c r="AZ98" s="334" t="s">
        <v>1056</v>
      </c>
      <c r="BA98" s="334" t="s">
        <v>1057</v>
      </c>
      <c r="BB98" s="367" t="s">
        <v>1431</v>
      </c>
      <c r="BC98" s="282" t="s">
        <v>1637</v>
      </c>
      <c r="BD98" s="201"/>
      <c r="BE98" s="562"/>
      <c r="BF98" s="428"/>
      <c r="BG98" s="200"/>
    </row>
    <row r="99" spans="1:59" ht="191.25" customHeight="1">
      <c r="A99" s="437"/>
      <c r="B99" s="439"/>
      <c r="C99" s="500"/>
      <c r="D99" s="502"/>
      <c r="E99" s="149"/>
      <c r="F99" s="333"/>
      <c r="G99" s="248" t="s">
        <v>285</v>
      </c>
      <c r="H99" s="248" t="s">
        <v>16</v>
      </c>
      <c r="I99" s="330" t="s">
        <v>286</v>
      </c>
      <c r="J99" s="495"/>
      <c r="K99" s="467"/>
      <c r="L99" s="478"/>
      <c r="M99" s="467"/>
      <c r="N99" s="497"/>
      <c r="O99" s="330" t="s">
        <v>287</v>
      </c>
      <c r="P99" s="331" t="s">
        <v>282</v>
      </c>
      <c r="Q99" s="229" t="s">
        <v>20</v>
      </c>
      <c r="R99" s="207" t="s">
        <v>116</v>
      </c>
      <c r="S99" s="208">
        <f t="shared" si="54"/>
        <v>15</v>
      </c>
      <c r="T99" s="207" t="s">
        <v>257</v>
      </c>
      <c r="U99" s="208">
        <f t="shared" si="55"/>
        <v>15</v>
      </c>
      <c r="V99" s="207" t="s">
        <v>257</v>
      </c>
      <c r="W99" s="208">
        <f t="shared" si="56"/>
        <v>15</v>
      </c>
      <c r="X99" s="207" t="s">
        <v>20</v>
      </c>
      <c r="Y99" s="208">
        <f t="shared" si="57"/>
        <v>15</v>
      </c>
      <c r="Z99" s="207" t="s">
        <v>257</v>
      </c>
      <c r="AA99" s="208">
        <f t="shared" si="58"/>
        <v>15</v>
      </c>
      <c r="AB99" s="207" t="s">
        <v>257</v>
      </c>
      <c r="AC99" s="208">
        <f t="shared" si="59"/>
        <v>15</v>
      </c>
      <c r="AD99" s="207" t="s">
        <v>117</v>
      </c>
      <c r="AE99" s="208">
        <f t="shared" si="60"/>
        <v>10</v>
      </c>
      <c r="AF99" s="270">
        <f t="shared" si="61"/>
        <v>100</v>
      </c>
      <c r="AG99" s="270" t="str">
        <f t="shared" si="62"/>
        <v>Fuerte</v>
      </c>
      <c r="AH99" s="209" t="s">
        <v>118</v>
      </c>
      <c r="AI99" s="210" t="str">
        <f t="shared" si="63"/>
        <v>Fuerte</v>
      </c>
      <c r="AJ99" s="211" t="str">
        <f>IFERROR(VLOOKUP((CONCATENATE(AG99,AI99)),Listados!$U$3:$V$11,2,FALSE),"")</f>
        <v>Fuerte</v>
      </c>
      <c r="AK99" s="270">
        <f t="shared" si="64"/>
        <v>100</v>
      </c>
      <c r="AL99" s="447"/>
      <c r="AM99" s="449"/>
      <c r="AN99" s="269">
        <f>+IF(AND(Q99="Preventivo",AM97="Fuerte"),2,IF(AND(Q99="Preventivo",AM97="Moderado"),1,0))</f>
        <v>1</v>
      </c>
      <c r="AO99" s="269">
        <f t="shared" si="65"/>
        <v>0</v>
      </c>
      <c r="AP99" s="212">
        <f>+K97-AN99</f>
        <v>0</v>
      </c>
      <c r="AQ99" s="212">
        <f>+M97-AO99</f>
        <v>3</v>
      </c>
      <c r="AR99" s="433"/>
      <c r="AS99" s="433"/>
      <c r="AT99" s="433"/>
      <c r="AU99" s="433"/>
      <c r="AV99" s="334" t="s">
        <v>1210</v>
      </c>
      <c r="AW99" s="336" t="s">
        <v>1052</v>
      </c>
      <c r="AX99" s="335">
        <v>44927</v>
      </c>
      <c r="AY99" s="335">
        <v>45291</v>
      </c>
      <c r="AZ99" s="334" t="s">
        <v>1058</v>
      </c>
      <c r="BA99" s="336" t="s">
        <v>1059</v>
      </c>
      <c r="BB99" s="367" t="s">
        <v>1432</v>
      </c>
      <c r="BC99" s="282" t="s">
        <v>1638</v>
      </c>
      <c r="BD99" s="201"/>
      <c r="BE99" s="562"/>
      <c r="BF99" s="428"/>
      <c r="BG99" s="200"/>
    </row>
    <row r="100" spans="1:59" ht="111" customHeight="1">
      <c r="A100" s="437"/>
      <c r="B100" s="439"/>
      <c r="C100" s="500"/>
      <c r="D100" s="502"/>
      <c r="E100" s="149"/>
      <c r="F100" s="333"/>
      <c r="G100" s="248" t="s">
        <v>1369</v>
      </c>
      <c r="H100" s="248" t="s">
        <v>16</v>
      </c>
      <c r="I100" s="330" t="s">
        <v>288</v>
      </c>
      <c r="J100" s="495"/>
      <c r="K100" s="467"/>
      <c r="L100" s="478"/>
      <c r="M100" s="467"/>
      <c r="N100" s="497"/>
      <c r="O100" s="332" t="s">
        <v>1371</v>
      </c>
      <c r="P100" s="248" t="s">
        <v>1370</v>
      </c>
      <c r="Q100" s="229" t="s">
        <v>123</v>
      </c>
      <c r="R100" s="207" t="s">
        <v>116</v>
      </c>
      <c r="S100" s="208">
        <f t="shared" ref="S100" si="85">+IF(R100="si",15,"")</f>
        <v>15</v>
      </c>
      <c r="T100" s="207" t="s">
        <v>257</v>
      </c>
      <c r="U100" s="208">
        <f t="shared" ref="U100" si="86">+IF(T100="si",15,"")</f>
        <v>15</v>
      </c>
      <c r="V100" s="207" t="s">
        <v>257</v>
      </c>
      <c r="W100" s="208">
        <f t="shared" ref="W100" si="87">+IF(V100="si",15,"")</f>
        <v>15</v>
      </c>
      <c r="X100" s="207" t="s">
        <v>123</v>
      </c>
      <c r="Y100" s="208">
        <f t="shared" ref="Y100" si="88">+IF(X100="Preventivo",15,IF(X100="Detectivo",10,""))</f>
        <v>10</v>
      </c>
      <c r="Z100" s="207" t="s">
        <v>257</v>
      </c>
      <c r="AA100" s="208">
        <f t="shared" ref="AA100" si="89">+IF(Z100="si",15,"")</f>
        <v>15</v>
      </c>
      <c r="AB100" s="207" t="s">
        <v>257</v>
      </c>
      <c r="AC100" s="208">
        <f t="shared" si="59"/>
        <v>15</v>
      </c>
      <c r="AD100" s="207" t="s">
        <v>117</v>
      </c>
      <c r="AE100" s="208">
        <f t="shared" si="60"/>
        <v>10</v>
      </c>
      <c r="AF100" s="270">
        <f t="shared" si="61"/>
        <v>95</v>
      </c>
      <c r="AG100" s="270" t="str">
        <f t="shared" si="62"/>
        <v>Moderado</v>
      </c>
      <c r="AH100" s="209" t="s">
        <v>118</v>
      </c>
      <c r="AI100" s="210" t="str">
        <f t="shared" si="63"/>
        <v>Fuerte</v>
      </c>
      <c r="AJ100" s="211" t="str">
        <f>IFERROR(VLOOKUP((CONCATENATE(AG100,AI100)),Listados!$U$3:$V$11,2,FALSE),"")</f>
        <v>Moderado</v>
      </c>
      <c r="AK100" s="270">
        <f t="shared" si="64"/>
        <v>50</v>
      </c>
      <c r="AL100" s="447"/>
      <c r="AM100" s="449"/>
      <c r="AN100" s="269">
        <f>+IF(AND(Q100="Preventivo",AM97="Fuerte"),2,IF(AND(Q100="Preventivo",AM97="Moderado"),1,0))</f>
        <v>0</v>
      </c>
      <c r="AO100" s="269">
        <f t="shared" si="65"/>
        <v>0</v>
      </c>
      <c r="AP100" s="212">
        <f>+K97-AN100</f>
        <v>1</v>
      </c>
      <c r="AQ100" s="212">
        <f>+M97-AO100</f>
        <v>3</v>
      </c>
      <c r="AR100" s="433"/>
      <c r="AS100" s="433"/>
      <c r="AT100" s="433"/>
      <c r="AU100" s="433"/>
      <c r="AV100" s="337" t="s">
        <v>1372</v>
      </c>
      <c r="AW100" s="338" t="s">
        <v>1052</v>
      </c>
      <c r="AX100" s="335">
        <v>44927</v>
      </c>
      <c r="AY100" s="335">
        <v>45291</v>
      </c>
      <c r="AZ100" s="334" t="s">
        <v>1056</v>
      </c>
      <c r="BA100" s="334" t="s">
        <v>1373</v>
      </c>
      <c r="BB100" s="367" t="s">
        <v>1433</v>
      </c>
      <c r="BC100" s="282" t="s">
        <v>1639</v>
      </c>
      <c r="BD100" s="201"/>
      <c r="BE100" s="562"/>
      <c r="BF100" s="428"/>
      <c r="BG100" s="200"/>
    </row>
    <row r="101" spans="1:59" ht="70">
      <c r="A101" s="437"/>
      <c r="B101" s="439"/>
      <c r="C101" s="500"/>
      <c r="D101" s="502"/>
      <c r="E101" s="149"/>
      <c r="F101" s="333"/>
      <c r="G101" s="248" t="s">
        <v>1370</v>
      </c>
      <c r="H101" s="248" t="s">
        <v>16</v>
      </c>
      <c r="I101" s="330"/>
      <c r="J101" s="495"/>
      <c r="K101" s="467"/>
      <c r="L101" s="478"/>
      <c r="M101" s="467"/>
      <c r="N101" s="497"/>
      <c r="O101" s="149"/>
      <c r="P101" s="137"/>
      <c r="Q101" s="137"/>
      <c r="R101" s="231"/>
      <c r="S101" s="208" t="str">
        <f t="shared" si="54"/>
        <v/>
      </c>
      <c r="T101" s="231"/>
      <c r="U101" s="208" t="str">
        <f t="shared" si="55"/>
        <v/>
      </c>
      <c r="V101" s="207"/>
      <c r="W101" s="208" t="str">
        <f t="shared" si="56"/>
        <v/>
      </c>
      <c r="X101" s="207"/>
      <c r="Y101" s="208" t="str">
        <f t="shared" si="57"/>
        <v/>
      </c>
      <c r="Z101" s="207"/>
      <c r="AA101" s="208" t="str">
        <f t="shared" si="58"/>
        <v/>
      </c>
      <c r="AB101" s="207"/>
      <c r="AC101" s="208" t="str">
        <f t="shared" si="59"/>
        <v/>
      </c>
      <c r="AD101" s="207"/>
      <c r="AE101" s="208" t="str">
        <f t="shared" si="60"/>
        <v/>
      </c>
      <c r="AF101" s="270" t="str">
        <f t="shared" si="61"/>
        <v/>
      </c>
      <c r="AG101" s="270" t="str">
        <f t="shared" si="62"/>
        <v/>
      </c>
      <c r="AH101" s="209"/>
      <c r="AI101" s="210" t="str">
        <f t="shared" si="63"/>
        <v>Débil</v>
      </c>
      <c r="AJ101" s="211" t="str">
        <f>IFERROR(VLOOKUP((CONCATENATE(AG101,AI101)),Listados!$U$3:$V$11,2,FALSE),"")</f>
        <v/>
      </c>
      <c r="AK101" s="270">
        <f t="shared" si="64"/>
        <v>100</v>
      </c>
      <c r="AL101" s="447"/>
      <c r="AM101" s="449"/>
      <c r="AN101" s="269">
        <f>+IF(AND(Q101="Preventivo",AM97="Fuerte"),2,IF(AND(Q101="Preventivo",AM97="Moderado"),1,0))</f>
        <v>0</v>
      </c>
      <c r="AO101" s="269">
        <f t="shared" si="65"/>
        <v>0</v>
      </c>
      <c r="AP101" s="212">
        <f>+K97-AN101</f>
        <v>1</v>
      </c>
      <c r="AQ101" s="212">
        <f>+M97-AO101</f>
        <v>3</v>
      </c>
      <c r="AR101" s="433"/>
      <c r="AS101" s="433"/>
      <c r="AT101" s="433"/>
      <c r="AU101" s="433"/>
      <c r="AV101" s="201"/>
      <c r="AW101" s="201"/>
      <c r="AX101" s="201"/>
      <c r="AY101" s="201"/>
      <c r="AZ101" s="201"/>
      <c r="BA101" s="201"/>
      <c r="BB101" s="354"/>
      <c r="BC101" s="282"/>
      <c r="BD101" s="201"/>
      <c r="BE101" s="562"/>
      <c r="BF101" s="428"/>
      <c r="BG101" s="200"/>
    </row>
    <row r="102" spans="1:59" ht="14.5" thickBot="1">
      <c r="A102" s="438"/>
      <c r="B102" s="439"/>
      <c r="C102" s="500"/>
      <c r="D102" s="502"/>
      <c r="E102" s="149"/>
      <c r="F102" s="149"/>
      <c r="G102" s="137"/>
      <c r="H102" s="137"/>
      <c r="I102" s="137"/>
      <c r="J102" s="495"/>
      <c r="K102" s="468"/>
      <c r="L102" s="478"/>
      <c r="M102" s="468"/>
      <c r="N102" s="497"/>
      <c r="O102" s="149"/>
      <c r="P102" s="137"/>
      <c r="Q102" s="137"/>
      <c r="R102" s="231"/>
      <c r="S102" s="208" t="str">
        <f t="shared" si="54"/>
        <v/>
      </c>
      <c r="T102" s="231"/>
      <c r="U102" s="208" t="str">
        <f t="shared" si="55"/>
        <v/>
      </c>
      <c r="V102" s="207"/>
      <c r="W102" s="208" t="str">
        <f t="shared" si="56"/>
        <v/>
      </c>
      <c r="X102" s="207"/>
      <c r="Y102" s="208" t="str">
        <f t="shared" si="57"/>
        <v/>
      </c>
      <c r="Z102" s="207"/>
      <c r="AA102" s="208" t="str">
        <f t="shared" si="58"/>
        <v/>
      </c>
      <c r="AB102" s="207"/>
      <c r="AC102" s="208" t="str">
        <f t="shared" si="59"/>
        <v/>
      </c>
      <c r="AD102" s="207"/>
      <c r="AE102" s="208" t="str">
        <f t="shared" si="60"/>
        <v/>
      </c>
      <c r="AF102" s="270" t="str">
        <f t="shared" si="61"/>
        <v/>
      </c>
      <c r="AG102" s="270" t="str">
        <f t="shared" si="62"/>
        <v/>
      </c>
      <c r="AH102" s="209"/>
      <c r="AI102" s="210" t="str">
        <f t="shared" si="63"/>
        <v>Débil</v>
      </c>
      <c r="AJ102" s="211" t="str">
        <f>IFERROR(VLOOKUP((CONCATENATE(AG102,AI102)),Listados!$U$3:$V$11,2,FALSE),"")</f>
        <v/>
      </c>
      <c r="AK102" s="270">
        <f t="shared" si="64"/>
        <v>100</v>
      </c>
      <c r="AL102" s="448"/>
      <c r="AM102" s="449"/>
      <c r="AN102" s="269">
        <f>+IF(AND(Q102="Preventivo",AM97="Fuerte"),2,IF(AND(Q102="Preventivo",AM97="Moderado"),1,0))</f>
        <v>0</v>
      </c>
      <c r="AO102" s="269">
        <f t="shared" si="65"/>
        <v>0</v>
      </c>
      <c r="AP102" s="212">
        <f>+K97-AN102</f>
        <v>1</v>
      </c>
      <c r="AQ102" s="212">
        <f>+M97-AO102</f>
        <v>3</v>
      </c>
      <c r="AR102" s="434"/>
      <c r="AS102" s="434"/>
      <c r="AT102" s="434"/>
      <c r="AU102" s="434"/>
      <c r="AV102" s="201"/>
      <c r="AW102" s="201"/>
      <c r="AX102" s="201"/>
      <c r="AY102" s="201"/>
      <c r="AZ102" s="201"/>
      <c r="BA102" s="201"/>
      <c r="BB102" s="354"/>
      <c r="BC102" s="282"/>
      <c r="BD102" s="201"/>
      <c r="BE102" s="563"/>
      <c r="BF102" s="429"/>
      <c r="BG102" s="200"/>
    </row>
    <row r="103" spans="1:59" ht="161.25" customHeight="1">
      <c r="A103" s="436">
        <v>18</v>
      </c>
      <c r="B103" s="439" t="s">
        <v>27</v>
      </c>
      <c r="C103" s="500" t="str">
        <f>IFERROR(VLOOKUP(B103,Listados!B$3:C$20,2,FALSE),"")</f>
        <v>Proveer información oportuna, confiable, veraz y accesible a clientes internos y externos del Ministerio de Justicia y del Derecho.</v>
      </c>
      <c r="D103" s="502" t="s">
        <v>1434</v>
      </c>
      <c r="E103" s="149" t="s">
        <v>69</v>
      </c>
      <c r="F103" s="149" t="s">
        <v>177</v>
      </c>
      <c r="G103" s="137" t="s">
        <v>289</v>
      </c>
      <c r="H103" s="137" t="s">
        <v>16</v>
      </c>
      <c r="I103" s="137" t="s">
        <v>290</v>
      </c>
      <c r="J103" s="495" t="s">
        <v>21</v>
      </c>
      <c r="K103" s="466">
        <f>+VLOOKUP(J103,Listados!$K$8:$L$12,2,0)</f>
        <v>1</v>
      </c>
      <c r="L103" s="477" t="s">
        <v>54</v>
      </c>
      <c r="M103" s="466">
        <f>+VLOOKUP(L103,Listados!$K$13:$L$17,2,0)</f>
        <v>4</v>
      </c>
      <c r="N103" s="496" t="str">
        <f>IF(AND(J103&lt;&gt;"",L103&lt;&gt;""),VLOOKUP(J103&amp;L103,Listados!$M$3:$N$27,2,FALSE),"")</f>
        <v>Alto</v>
      </c>
      <c r="O103" s="137" t="s">
        <v>291</v>
      </c>
      <c r="P103" s="149" t="s">
        <v>289</v>
      </c>
      <c r="Q103" s="137" t="s">
        <v>20</v>
      </c>
      <c r="R103" s="207" t="s">
        <v>116</v>
      </c>
      <c r="S103" s="208">
        <f t="shared" si="54"/>
        <v>15</v>
      </c>
      <c r="T103" s="207" t="s">
        <v>257</v>
      </c>
      <c r="U103" s="208">
        <f t="shared" si="55"/>
        <v>15</v>
      </c>
      <c r="V103" s="207" t="s">
        <v>257</v>
      </c>
      <c r="W103" s="208">
        <f t="shared" si="56"/>
        <v>15</v>
      </c>
      <c r="X103" s="207" t="s">
        <v>20</v>
      </c>
      <c r="Y103" s="208">
        <f t="shared" si="57"/>
        <v>15</v>
      </c>
      <c r="Z103" s="207" t="s">
        <v>257</v>
      </c>
      <c r="AA103" s="208">
        <f t="shared" si="58"/>
        <v>15</v>
      </c>
      <c r="AB103" s="207" t="s">
        <v>257</v>
      </c>
      <c r="AC103" s="208">
        <f t="shared" si="59"/>
        <v>15</v>
      </c>
      <c r="AD103" s="207" t="s">
        <v>117</v>
      </c>
      <c r="AE103" s="208">
        <f t="shared" si="60"/>
        <v>10</v>
      </c>
      <c r="AF103" s="270">
        <f t="shared" si="61"/>
        <v>100</v>
      </c>
      <c r="AG103" s="270" t="str">
        <f t="shared" si="62"/>
        <v>Fuerte</v>
      </c>
      <c r="AH103" s="209" t="s">
        <v>118</v>
      </c>
      <c r="AI103" s="210" t="str">
        <f t="shared" si="63"/>
        <v>Fuerte</v>
      </c>
      <c r="AJ103" s="211" t="str">
        <f>IFERROR(VLOOKUP((CONCATENATE(AG103,AI103)),Listados!$U$3:$V$11,2,FALSE),"")</f>
        <v>Fuerte</v>
      </c>
      <c r="AK103" s="270">
        <f t="shared" si="64"/>
        <v>100</v>
      </c>
      <c r="AL103" s="446">
        <f>AVERAGE(AK103:AK108)</f>
        <v>100</v>
      </c>
      <c r="AM103" s="448" t="str">
        <f>IF(AL103&lt;=50, "Débil", IF(AL103&lt;=99,"Moderado","Fuerte"))</f>
        <v>Fuerte</v>
      </c>
      <c r="AN103" s="269">
        <f>+IF(AND(Q103="Preventivo",AM103="Fuerte"),2,IF(AND(Q103="Preventivo",AM103="Moderado"),1,0))</f>
        <v>2</v>
      </c>
      <c r="AO103" s="269">
        <f t="shared" si="65"/>
        <v>0</v>
      </c>
      <c r="AP103" s="212">
        <f>+K103-AN103</f>
        <v>-1</v>
      </c>
      <c r="AQ103" s="212">
        <f>+M103-AO103</f>
        <v>4</v>
      </c>
      <c r="AR103" s="435" t="str">
        <f>+VLOOKUP(MIN(AP103,AP104,AP105,AP106,AP107,AP108),Listados!$J$18:$K$24,2,TRUE)</f>
        <v>Rara Vez</v>
      </c>
      <c r="AS103" s="435" t="str">
        <f>+VLOOKUP(MIN(AQ103,AQ104,AQ105,AQ106,AQ107,AQ108),Listados!$J$27:$K$32,2,TRUE)</f>
        <v>Mayor</v>
      </c>
      <c r="AT103" s="435" t="str">
        <f>IF(AND(AR103&lt;&gt;"",AS103&lt;&gt;""),VLOOKUP(AR103&amp;AS103,Listados!$M$3:$N$27,2,FALSE),"")</f>
        <v>Alto</v>
      </c>
      <c r="AU103" s="435" t="str">
        <f>+VLOOKUP(AT103,Listados!$P$3:$Q$6,2,FALSE)</f>
        <v>Reducir el riesgo</v>
      </c>
      <c r="AV103" s="234" t="s">
        <v>1236</v>
      </c>
      <c r="AW103" s="234" t="s">
        <v>1113</v>
      </c>
      <c r="AX103" s="368">
        <v>44927</v>
      </c>
      <c r="AY103" s="368">
        <v>45291</v>
      </c>
      <c r="AZ103" s="234" t="s">
        <v>1239</v>
      </c>
      <c r="BA103" s="234" t="s">
        <v>1241</v>
      </c>
      <c r="BB103" s="369" t="s">
        <v>1435</v>
      </c>
      <c r="BC103" s="282" t="s">
        <v>1608</v>
      </c>
      <c r="BD103" s="879"/>
      <c r="BE103" s="556" t="s">
        <v>1518</v>
      </c>
      <c r="BF103" s="884" t="s">
        <v>1826</v>
      </c>
      <c r="BG103" s="559"/>
    </row>
    <row r="104" spans="1:59" ht="109.5" customHeight="1">
      <c r="A104" s="437"/>
      <c r="B104" s="439"/>
      <c r="C104" s="500"/>
      <c r="D104" s="502"/>
      <c r="E104" s="149"/>
      <c r="F104" s="149"/>
      <c r="G104" s="137" t="s">
        <v>292</v>
      </c>
      <c r="H104" s="137" t="s">
        <v>16</v>
      </c>
      <c r="I104" s="137" t="s">
        <v>293</v>
      </c>
      <c r="J104" s="495"/>
      <c r="K104" s="467"/>
      <c r="L104" s="478"/>
      <c r="M104" s="467"/>
      <c r="N104" s="497"/>
      <c r="O104" s="137" t="s">
        <v>294</v>
      </c>
      <c r="P104" s="149" t="s">
        <v>292</v>
      </c>
      <c r="Q104" s="137" t="s">
        <v>20</v>
      </c>
      <c r="R104" s="207" t="s">
        <v>116</v>
      </c>
      <c r="S104" s="208">
        <f t="shared" si="54"/>
        <v>15</v>
      </c>
      <c r="T104" s="207" t="s">
        <v>257</v>
      </c>
      <c r="U104" s="208">
        <f t="shared" si="55"/>
        <v>15</v>
      </c>
      <c r="V104" s="207" t="s">
        <v>257</v>
      </c>
      <c r="W104" s="208">
        <f t="shared" si="56"/>
        <v>15</v>
      </c>
      <c r="X104" s="207" t="s">
        <v>20</v>
      </c>
      <c r="Y104" s="208">
        <f t="shared" si="57"/>
        <v>15</v>
      </c>
      <c r="Z104" s="207" t="s">
        <v>257</v>
      </c>
      <c r="AA104" s="208">
        <f t="shared" si="58"/>
        <v>15</v>
      </c>
      <c r="AB104" s="207" t="s">
        <v>257</v>
      </c>
      <c r="AC104" s="208">
        <f t="shared" si="59"/>
        <v>15</v>
      </c>
      <c r="AD104" s="207" t="s">
        <v>117</v>
      </c>
      <c r="AE104" s="208">
        <f t="shared" si="60"/>
        <v>10</v>
      </c>
      <c r="AF104" s="270">
        <f t="shared" si="61"/>
        <v>100</v>
      </c>
      <c r="AG104" s="270" t="str">
        <f t="shared" si="62"/>
        <v>Fuerte</v>
      </c>
      <c r="AH104" s="209" t="s">
        <v>118</v>
      </c>
      <c r="AI104" s="210" t="str">
        <f t="shared" si="63"/>
        <v>Fuerte</v>
      </c>
      <c r="AJ104" s="211" t="str">
        <f>IFERROR(VLOOKUP((CONCATENATE(AG104,AI104)),Listados!$U$3:$V$11,2,FALSE),"")</f>
        <v>Fuerte</v>
      </c>
      <c r="AK104" s="270">
        <f t="shared" si="64"/>
        <v>100</v>
      </c>
      <c r="AL104" s="447"/>
      <c r="AM104" s="449"/>
      <c r="AN104" s="269">
        <f>+IF(AND(Q104="Preventivo",AM103="Fuerte"),2,IF(AND(Q104="Preventivo",AM103="Moderado"),1,0))</f>
        <v>2</v>
      </c>
      <c r="AO104" s="269">
        <f t="shared" si="65"/>
        <v>0</v>
      </c>
      <c r="AP104" s="212">
        <f>+K103-AN104</f>
        <v>-1</v>
      </c>
      <c r="AQ104" s="212">
        <f>+M103-AO104</f>
        <v>4</v>
      </c>
      <c r="AR104" s="433"/>
      <c r="AS104" s="433"/>
      <c r="AT104" s="433"/>
      <c r="AU104" s="433"/>
      <c r="AV104" s="253" t="s">
        <v>1237</v>
      </c>
      <c r="AW104" s="253" t="s">
        <v>1113</v>
      </c>
      <c r="AX104" s="368">
        <v>44927</v>
      </c>
      <c r="AY104" s="368">
        <v>45291</v>
      </c>
      <c r="AZ104" s="340" t="s">
        <v>1239</v>
      </c>
      <c r="BA104" s="253" t="s">
        <v>1242</v>
      </c>
      <c r="BB104" s="369" t="s">
        <v>1436</v>
      </c>
      <c r="BC104" s="282" t="s">
        <v>1609</v>
      </c>
      <c r="BD104" s="880"/>
      <c r="BE104" s="557"/>
      <c r="BF104" s="885"/>
      <c r="BG104" s="549"/>
    </row>
    <row r="105" spans="1:59" ht="109.5" customHeight="1">
      <c r="A105" s="437"/>
      <c r="B105" s="439"/>
      <c r="C105" s="500"/>
      <c r="D105" s="502"/>
      <c r="E105" s="149"/>
      <c r="F105" s="149"/>
      <c r="G105" s="137" t="s">
        <v>295</v>
      </c>
      <c r="H105" s="137" t="s">
        <v>16</v>
      </c>
      <c r="I105" s="137" t="s">
        <v>296</v>
      </c>
      <c r="J105" s="495"/>
      <c r="K105" s="467"/>
      <c r="L105" s="478"/>
      <c r="M105" s="467"/>
      <c r="N105" s="497"/>
      <c r="O105" s="137" t="s">
        <v>297</v>
      </c>
      <c r="P105" s="149" t="s">
        <v>295</v>
      </c>
      <c r="Q105" s="137" t="s">
        <v>20</v>
      </c>
      <c r="R105" s="207" t="s">
        <v>116</v>
      </c>
      <c r="S105" s="208">
        <f t="shared" si="54"/>
        <v>15</v>
      </c>
      <c r="T105" s="207" t="s">
        <v>257</v>
      </c>
      <c r="U105" s="208">
        <f t="shared" si="55"/>
        <v>15</v>
      </c>
      <c r="V105" s="207" t="s">
        <v>257</v>
      </c>
      <c r="W105" s="208">
        <f t="shared" si="56"/>
        <v>15</v>
      </c>
      <c r="X105" s="207" t="s">
        <v>20</v>
      </c>
      <c r="Y105" s="208">
        <f t="shared" si="57"/>
        <v>15</v>
      </c>
      <c r="Z105" s="207" t="s">
        <v>257</v>
      </c>
      <c r="AA105" s="208">
        <f t="shared" si="58"/>
        <v>15</v>
      </c>
      <c r="AB105" s="207" t="s">
        <v>257</v>
      </c>
      <c r="AC105" s="208">
        <f t="shared" si="59"/>
        <v>15</v>
      </c>
      <c r="AD105" s="207" t="s">
        <v>117</v>
      </c>
      <c r="AE105" s="208">
        <f t="shared" si="60"/>
        <v>10</v>
      </c>
      <c r="AF105" s="270">
        <f t="shared" si="61"/>
        <v>100</v>
      </c>
      <c r="AG105" s="270" t="str">
        <f t="shared" si="62"/>
        <v>Fuerte</v>
      </c>
      <c r="AH105" s="209" t="s">
        <v>118</v>
      </c>
      <c r="AI105" s="210" t="str">
        <f t="shared" si="63"/>
        <v>Fuerte</v>
      </c>
      <c r="AJ105" s="211" t="str">
        <f>IFERROR(VLOOKUP((CONCATENATE(AG105,AI105)),Listados!$U$3:$V$11,2,FALSE),"")</f>
        <v>Fuerte</v>
      </c>
      <c r="AK105" s="270">
        <f t="shared" si="64"/>
        <v>100</v>
      </c>
      <c r="AL105" s="447"/>
      <c r="AM105" s="449"/>
      <c r="AN105" s="269">
        <f>+IF(AND(Q105="Preventivo",AM103="Fuerte"),2,IF(AND(Q105="Preventivo",AM103="Moderado"),1,0))</f>
        <v>2</v>
      </c>
      <c r="AO105" s="269">
        <f t="shared" si="65"/>
        <v>0</v>
      </c>
      <c r="AP105" s="212">
        <f>+K103-AN105</f>
        <v>-1</v>
      </c>
      <c r="AQ105" s="212">
        <f>+M103-AO105</f>
        <v>4</v>
      </c>
      <c r="AR105" s="433"/>
      <c r="AS105" s="433"/>
      <c r="AT105" s="433"/>
      <c r="AU105" s="433"/>
      <c r="AV105" s="253" t="s">
        <v>1238</v>
      </c>
      <c r="AW105" s="253" t="s">
        <v>1240</v>
      </c>
      <c r="AX105" s="368">
        <v>44927</v>
      </c>
      <c r="AY105" s="368">
        <v>45291</v>
      </c>
      <c r="AZ105" s="340" t="s">
        <v>1239</v>
      </c>
      <c r="BA105" s="253" t="s">
        <v>1243</v>
      </c>
      <c r="BB105" s="369" t="s">
        <v>1437</v>
      </c>
      <c r="BC105" s="282" t="s">
        <v>1610</v>
      </c>
      <c r="BD105" s="880"/>
      <c r="BE105" s="557"/>
      <c r="BF105" s="885"/>
      <c r="BG105" s="549"/>
    </row>
    <row r="106" spans="1:59" ht="63" customHeight="1">
      <c r="A106" s="437"/>
      <c r="B106" s="439"/>
      <c r="C106" s="500"/>
      <c r="D106" s="502"/>
      <c r="E106" s="149"/>
      <c r="F106" s="149"/>
      <c r="G106" s="137" t="s">
        <v>1281</v>
      </c>
      <c r="H106" s="137"/>
      <c r="I106" s="137"/>
      <c r="J106" s="495"/>
      <c r="K106" s="467"/>
      <c r="L106" s="478"/>
      <c r="M106" s="467"/>
      <c r="N106" s="497"/>
      <c r="O106" s="149"/>
      <c r="P106" s="137"/>
      <c r="Q106" s="137"/>
      <c r="R106" s="231"/>
      <c r="S106" s="208" t="str">
        <f t="shared" si="54"/>
        <v/>
      </c>
      <c r="T106" s="231"/>
      <c r="U106" s="208" t="str">
        <f t="shared" si="55"/>
        <v/>
      </c>
      <c r="V106" s="207"/>
      <c r="W106" s="208" t="str">
        <f t="shared" si="56"/>
        <v/>
      </c>
      <c r="X106" s="207"/>
      <c r="Y106" s="208" t="str">
        <f t="shared" si="57"/>
        <v/>
      </c>
      <c r="Z106" s="207"/>
      <c r="AA106" s="208" t="str">
        <f t="shared" si="58"/>
        <v/>
      </c>
      <c r="AB106" s="207"/>
      <c r="AC106" s="208" t="str">
        <f t="shared" si="59"/>
        <v/>
      </c>
      <c r="AD106" s="207"/>
      <c r="AE106" s="208" t="str">
        <f t="shared" si="60"/>
        <v/>
      </c>
      <c r="AF106" s="270" t="str">
        <f t="shared" si="61"/>
        <v/>
      </c>
      <c r="AG106" s="270" t="str">
        <f t="shared" si="62"/>
        <v/>
      </c>
      <c r="AH106" s="209"/>
      <c r="AI106" s="210" t="str">
        <f t="shared" si="63"/>
        <v>Débil</v>
      </c>
      <c r="AJ106" s="211" t="str">
        <f>IFERROR(VLOOKUP((CONCATENATE(AG106,AI106)),Listados!$U$3:$V$11,2,FALSE),"")</f>
        <v/>
      </c>
      <c r="AK106" s="270">
        <f t="shared" si="64"/>
        <v>100</v>
      </c>
      <c r="AL106" s="447"/>
      <c r="AM106" s="449"/>
      <c r="AN106" s="269">
        <f>+IF(AND(Q106="Preventivo",AM103="Fuerte"),2,IF(AND(Q106="Preventivo",AM103="Moderado"),1,0))</f>
        <v>0</v>
      </c>
      <c r="AO106" s="269">
        <f t="shared" si="65"/>
        <v>0</v>
      </c>
      <c r="AP106" s="212">
        <f>+K103-AN106</f>
        <v>1</v>
      </c>
      <c r="AQ106" s="212">
        <f>+M103-AO106</f>
        <v>4</v>
      </c>
      <c r="AR106" s="433"/>
      <c r="AS106" s="433"/>
      <c r="AT106" s="433"/>
      <c r="AU106" s="433"/>
      <c r="AV106" s="201"/>
      <c r="AW106" s="201"/>
      <c r="AX106" s="201"/>
      <c r="AY106" s="201"/>
      <c r="AZ106" s="201"/>
      <c r="BA106" s="201"/>
      <c r="BB106" s="354"/>
      <c r="BC106" s="282"/>
      <c r="BD106" s="880"/>
      <c r="BE106" s="557"/>
      <c r="BF106" s="885"/>
      <c r="BG106" s="549"/>
    </row>
    <row r="107" spans="1:59" ht="90" customHeight="1">
      <c r="A107" s="437"/>
      <c r="B107" s="439"/>
      <c r="C107" s="500"/>
      <c r="D107" s="502"/>
      <c r="E107" s="149"/>
      <c r="F107" s="149"/>
      <c r="G107" s="137" t="s">
        <v>1282</v>
      </c>
      <c r="H107" s="137"/>
      <c r="I107" s="137"/>
      <c r="J107" s="495"/>
      <c r="K107" s="467"/>
      <c r="L107" s="478"/>
      <c r="M107" s="467"/>
      <c r="N107" s="497"/>
      <c r="O107" s="149"/>
      <c r="P107" s="137"/>
      <c r="Q107" s="137"/>
      <c r="R107" s="231"/>
      <c r="S107" s="208" t="str">
        <f t="shared" si="54"/>
        <v/>
      </c>
      <c r="T107" s="231"/>
      <c r="U107" s="208" t="str">
        <f t="shared" si="55"/>
        <v/>
      </c>
      <c r="V107" s="207"/>
      <c r="W107" s="208" t="str">
        <f t="shared" si="56"/>
        <v/>
      </c>
      <c r="X107" s="207"/>
      <c r="Y107" s="208" t="str">
        <f t="shared" si="57"/>
        <v/>
      </c>
      <c r="Z107" s="207"/>
      <c r="AA107" s="208" t="str">
        <f t="shared" si="58"/>
        <v/>
      </c>
      <c r="AB107" s="207"/>
      <c r="AC107" s="208" t="str">
        <f t="shared" si="59"/>
        <v/>
      </c>
      <c r="AD107" s="207"/>
      <c r="AE107" s="208" t="str">
        <f t="shared" si="60"/>
        <v/>
      </c>
      <c r="AF107" s="270" t="str">
        <f t="shared" si="61"/>
        <v/>
      </c>
      <c r="AG107" s="270" t="str">
        <f t="shared" si="62"/>
        <v/>
      </c>
      <c r="AH107" s="209"/>
      <c r="AI107" s="210" t="str">
        <f t="shared" si="63"/>
        <v>Débil</v>
      </c>
      <c r="AJ107" s="211" t="str">
        <f>IFERROR(VLOOKUP((CONCATENATE(AG107,AI107)),Listados!$U$3:$V$11,2,FALSE),"")</f>
        <v/>
      </c>
      <c r="AK107" s="270">
        <f t="shared" si="64"/>
        <v>100</v>
      </c>
      <c r="AL107" s="447"/>
      <c r="AM107" s="449"/>
      <c r="AN107" s="269">
        <f>+IF(AND(Q107="Preventivo",AM103="Fuerte"),2,IF(AND(Q107="Preventivo",AM103="Moderado"),1,0))</f>
        <v>0</v>
      </c>
      <c r="AO107" s="269">
        <f t="shared" si="65"/>
        <v>0</v>
      </c>
      <c r="AP107" s="212">
        <f>+K103-AN107</f>
        <v>1</v>
      </c>
      <c r="AQ107" s="212">
        <f>+M103-AO107</f>
        <v>4</v>
      </c>
      <c r="AR107" s="433"/>
      <c r="AS107" s="433"/>
      <c r="AT107" s="433"/>
      <c r="AU107" s="433"/>
      <c r="AV107" s="201"/>
      <c r="AW107" s="201"/>
      <c r="AX107" s="201"/>
      <c r="AY107" s="201"/>
      <c r="AZ107" s="201"/>
      <c r="BA107" s="201"/>
      <c r="BB107" s="354"/>
      <c r="BC107" s="282"/>
      <c r="BD107" s="880"/>
      <c r="BE107" s="557"/>
      <c r="BF107" s="885"/>
      <c r="BG107" s="549"/>
    </row>
    <row r="108" spans="1:59" ht="14.5" thickBot="1">
      <c r="A108" s="438"/>
      <c r="B108" s="439"/>
      <c r="C108" s="500"/>
      <c r="D108" s="502"/>
      <c r="E108" s="149"/>
      <c r="F108" s="149"/>
      <c r="G108" s="137"/>
      <c r="H108" s="137"/>
      <c r="I108" s="137"/>
      <c r="J108" s="495"/>
      <c r="K108" s="468"/>
      <c r="L108" s="478"/>
      <c r="M108" s="468"/>
      <c r="N108" s="497"/>
      <c r="O108" s="149"/>
      <c r="P108" s="137"/>
      <c r="Q108" s="137"/>
      <c r="R108" s="231"/>
      <c r="S108" s="208" t="str">
        <f t="shared" si="54"/>
        <v/>
      </c>
      <c r="T108" s="231"/>
      <c r="U108" s="208" t="str">
        <f t="shared" si="55"/>
        <v/>
      </c>
      <c r="V108" s="207"/>
      <c r="W108" s="208" t="str">
        <f t="shared" si="56"/>
        <v/>
      </c>
      <c r="X108" s="207"/>
      <c r="Y108" s="208" t="str">
        <f t="shared" si="57"/>
        <v/>
      </c>
      <c r="Z108" s="207"/>
      <c r="AA108" s="208" t="str">
        <f t="shared" si="58"/>
        <v/>
      </c>
      <c r="AB108" s="207"/>
      <c r="AC108" s="208" t="str">
        <f t="shared" si="59"/>
        <v/>
      </c>
      <c r="AD108" s="207"/>
      <c r="AE108" s="208" t="str">
        <f t="shared" si="60"/>
        <v/>
      </c>
      <c r="AF108" s="270" t="str">
        <f t="shared" si="61"/>
        <v/>
      </c>
      <c r="AG108" s="270" t="str">
        <f t="shared" si="62"/>
        <v/>
      </c>
      <c r="AH108" s="209"/>
      <c r="AI108" s="210" t="str">
        <f t="shared" si="63"/>
        <v>Débil</v>
      </c>
      <c r="AJ108" s="211" t="str">
        <f>IFERROR(VLOOKUP((CONCATENATE(AG108,AI108)),Listados!$U$3:$V$11,2,FALSE),"")</f>
        <v/>
      </c>
      <c r="AK108" s="270">
        <f t="shared" si="64"/>
        <v>100</v>
      </c>
      <c r="AL108" s="448"/>
      <c r="AM108" s="449"/>
      <c r="AN108" s="269">
        <f>+IF(AND(Q108="Preventivo",AM103="Fuerte"),2,IF(AND(Q108="Preventivo",AM103="Moderado"),1,0))</f>
        <v>0</v>
      </c>
      <c r="AO108" s="269">
        <f t="shared" si="65"/>
        <v>0</v>
      </c>
      <c r="AP108" s="212">
        <f>+K103-AN108</f>
        <v>1</v>
      </c>
      <c r="AQ108" s="212">
        <f>+M103-AO108</f>
        <v>4</v>
      </c>
      <c r="AR108" s="434"/>
      <c r="AS108" s="434"/>
      <c r="AT108" s="434"/>
      <c r="AU108" s="434"/>
      <c r="AV108" s="201"/>
      <c r="AW108" s="201"/>
      <c r="AX108" s="201"/>
      <c r="AY108" s="201"/>
      <c r="AZ108" s="201"/>
      <c r="BA108" s="201"/>
      <c r="BB108" s="354"/>
      <c r="BC108" s="282"/>
      <c r="BD108" s="881"/>
      <c r="BE108" s="558"/>
      <c r="BF108" s="886"/>
      <c r="BG108" s="550"/>
    </row>
    <row r="109" spans="1:59" ht="140">
      <c r="A109" s="436">
        <v>19</v>
      </c>
      <c r="B109" s="439" t="s">
        <v>74</v>
      </c>
      <c r="C109" s="500" t="str">
        <f>IFERROR(VLOOKUP(B109,Listados!B$3:C$20,2,FALSE),"")</f>
        <v>Formular proyectos de actos normativos de acuerdo con las políticas que orientan el sector Justicia y del Derecho,que sirven de herramienta para cumplir con los objetivos del Ministerio en beneficio de la comunidad y partes interesadas de acuerdo con el ordenamiento jurídico vigente.</v>
      </c>
      <c r="D109" s="502" t="s">
        <v>1576</v>
      </c>
      <c r="E109" s="149" t="s">
        <v>15</v>
      </c>
      <c r="F109" s="149" t="s">
        <v>177</v>
      </c>
      <c r="G109" s="137" t="s">
        <v>1231</v>
      </c>
      <c r="H109" s="137" t="s">
        <v>16</v>
      </c>
      <c r="I109" s="137" t="s">
        <v>299</v>
      </c>
      <c r="J109" s="495" t="s">
        <v>53</v>
      </c>
      <c r="K109" s="466">
        <f>+VLOOKUP(J109,Listados!$K$8:$L$12,2,0)</f>
        <v>4</v>
      </c>
      <c r="L109" s="477" t="s">
        <v>54</v>
      </c>
      <c r="M109" s="466">
        <f>+VLOOKUP(L109,Listados!$K$13:$L$17,2,0)</f>
        <v>4</v>
      </c>
      <c r="N109" s="496" t="str">
        <f>IF(AND(J109&lt;&gt;"",L109&lt;&gt;""),VLOOKUP(J109&amp;L109,Listados!$M$3:$N$27,2,FALSE),"")</f>
        <v>Extremo</v>
      </c>
      <c r="O109" s="137" t="s">
        <v>300</v>
      </c>
      <c r="P109" s="149" t="s">
        <v>298</v>
      </c>
      <c r="Q109" s="137" t="s">
        <v>20</v>
      </c>
      <c r="R109" s="207" t="s">
        <v>116</v>
      </c>
      <c r="S109" s="208">
        <f t="shared" si="54"/>
        <v>15</v>
      </c>
      <c r="T109" s="207" t="s">
        <v>257</v>
      </c>
      <c r="U109" s="208">
        <f t="shared" si="55"/>
        <v>15</v>
      </c>
      <c r="V109" s="207" t="s">
        <v>257</v>
      </c>
      <c r="W109" s="208">
        <f t="shared" si="56"/>
        <v>15</v>
      </c>
      <c r="X109" s="207" t="s">
        <v>20</v>
      </c>
      <c r="Y109" s="208">
        <f t="shared" si="57"/>
        <v>15</v>
      </c>
      <c r="Z109" s="207" t="s">
        <v>257</v>
      </c>
      <c r="AA109" s="208">
        <f t="shared" si="58"/>
        <v>15</v>
      </c>
      <c r="AB109" s="207" t="s">
        <v>257</v>
      </c>
      <c r="AC109" s="208">
        <f t="shared" si="59"/>
        <v>15</v>
      </c>
      <c r="AD109" s="207" t="s">
        <v>117</v>
      </c>
      <c r="AE109" s="208">
        <f t="shared" si="60"/>
        <v>10</v>
      </c>
      <c r="AF109" s="270">
        <f t="shared" si="61"/>
        <v>100</v>
      </c>
      <c r="AG109" s="270" t="str">
        <f t="shared" si="62"/>
        <v>Fuerte</v>
      </c>
      <c r="AH109" s="209" t="s">
        <v>118</v>
      </c>
      <c r="AI109" s="210" t="str">
        <f t="shared" si="63"/>
        <v>Fuerte</v>
      </c>
      <c r="AJ109" s="211" t="str">
        <f>IFERROR(VLOOKUP((CONCATENATE(AG109,AI109)),Listados!$U$3:$V$11,2,FALSE),"")</f>
        <v>Fuerte</v>
      </c>
      <c r="AK109" s="270">
        <f t="shared" si="64"/>
        <v>100</v>
      </c>
      <c r="AL109" s="446">
        <f>AVERAGE(AK109:AK114)</f>
        <v>100</v>
      </c>
      <c r="AM109" s="448" t="str">
        <f>IF(AL109&lt;=50, "Débil", IF(AL109&lt;=99,"Moderado","Fuerte"))</f>
        <v>Fuerte</v>
      </c>
      <c r="AN109" s="269">
        <f>+IF(AND(Q109="Preventivo",AM109="Fuerte"),2,IF(AND(Q109="Preventivo",AM109="Moderado"),1,0))</f>
        <v>2</v>
      </c>
      <c r="AO109" s="269">
        <f t="shared" si="65"/>
        <v>0</v>
      </c>
      <c r="AP109" s="212">
        <f>+K109-AN109</f>
        <v>2</v>
      </c>
      <c r="AQ109" s="212">
        <f>+M109-AO109</f>
        <v>4</v>
      </c>
      <c r="AR109" s="435" t="str">
        <f>+VLOOKUP(MIN(AP109,AP110,AP111,AP112,AP113,AP114),Listados!$J$18:$K$24,2,TRUE)</f>
        <v>Improbable</v>
      </c>
      <c r="AS109" s="435" t="str">
        <f>+VLOOKUP(MIN(AQ109,AQ110,AQ111,AQ112,AQ113,AQ114),Listados!$J$27:$K$32,2,TRUE)</f>
        <v>Mayor</v>
      </c>
      <c r="AT109" s="435" t="str">
        <f>IF(AND(AR109&lt;&gt;"",AS109&lt;&gt;""),VLOOKUP(AR109&amp;AS109,Listados!$M$3:$N$27,2,FALSE),"")</f>
        <v>Alto</v>
      </c>
      <c r="AU109" s="435" t="str">
        <f>+VLOOKUP(AT109,Listados!$P$3:$Q$6,2,FALSE)</f>
        <v>Reducir el riesgo</v>
      </c>
      <c r="AV109" s="242" t="s">
        <v>1475</v>
      </c>
      <c r="AW109" s="374" t="s">
        <v>1061</v>
      </c>
      <c r="AX109" s="376">
        <v>44927</v>
      </c>
      <c r="AY109" s="376">
        <v>45291</v>
      </c>
      <c r="AZ109" s="374" t="s">
        <v>1476</v>
      </c>
      <c r="BA109" s="374" t="s">
        <v>1477</v>
      </c>
      <c r="BB109" s="607" t="s">
        <v>1474</v>
      </c>
      <c r="BC109" s="559" t="s">
        <v>1575</v>
      </c>
      <c r="BD109" s="559"/>
      <c r="BE109" s="556" t="s">
        <v>1519</v>
      </c>
      <c r="BF109" s="559" t="s">
        <v>1827</v>
      </c>
      <c r="BG109" s="559"/>
    </row>
    <row r="110" spans="1:59" ht="126">
      <c r="A110" s="437"/>
      <c r="B110" s="439"/>
      <c r="C110" s="500"/>
      <c r="D110" s="502"/>
      <c r="E110" s="149"/>
      <c r="F110" s="149" t="s">
        <v>271</v>
      </c>
      <c r="G110" s="137" t="s">
        <v>301</v>
      </c>
      <c r="H110" s="137" t="s">
        <v>16</v>
      </c>
      <c r="I110" s="137" t="s">
        <v>302</v>
      </c>
      <c r="J110" s="495"/>
      <c r="K110" s="467"/>
      <c r="L110" s="478"/>
      <c r="M110" s="467"/>
      <c r="N110" s="497"/>
      <c r="O110" s="137" t="s">
        <v>303</v>
      </c>
      <c r="P110" s="149" t="s">
        <v>301</v>
      </c>
      <c r="Q110" s="137" t="s">
        <v>20</v>
      </c>
      <c r="R110" s="207" t="s">
        <v>116</v>
      </c>
      <c r="S110" s="208">
        <f t="shared" si="54"/>
        <v>15</v>
      </c>
      <c r="T110" s="207" t="s">
        <v>257</v>
      </c>
      <c r="U110" s="208">
        <f t="shared" si="55"/>
        <v>15</v>
      </c>
      <c r="V110" s="207" t="s">
        <v>257</v>
      </c>
      <c r="W110" s="208">
        <f t="shared" si="56"/>
        <v>15</v>
      </c>
      <c r="X110" s="207" t="s">
        <v>20</v>
      </c>
      <c r="Y110" s="208">
        <f t="shared" si="57"/>
        <v>15</v>
      </c>
      <c r="Z110" s="207" t="s">
        <v>257</v>
      </c>
      <c r="AA110" s="208">
        <f t="shared" si="58"/>
        <v>15</v>
      </c>
      <c r="AB110" s="207" t="s">
        <v>257</v>
      </c>
      <c r="AC110" s="208">
        <f t="shared" si="59"/>
        <v>15</v>
      </c>
      <c r="AD110" s="207" t="s">
        <v>117</v>
      </c>
      <c r="AE110" s="208">
        <f t="shared" si="60"/>
        <v>10</v>
      </c>
      <c r="AF110" s="270">
        <f t="shared" si="61"/>
        <v>100</v>
      </c>
      <c r="AG110" s="270" t="str">
        <f t="shared" si="62"/>
        <v>Fuerte</v>
      </c>
      <c r="AH110" s="209" t="s">
        <v>118</v>
      </c>
      <c r="AI110" s="210" t="str">
        <f t="shared" si="63"/>
        <v>Fuerte</v>
      </c>
      <c r="AJ110" s="211" t="str">
        <f>IFERROR(VLOOKUP((CONCATENATE(AG110,AI110)),Listados!$U$3:$V$11,2,FALSE),"")</f>
        <v>Fuerte</v>
      </c>
      <c r="AK110" s="270">
        <f t="shared" si="64"/>
        <v>100</v>
      </c>
      <c r="AL110" s="447"/>
      <c r="AM110" s="449"/>
      <c r="AN110" s="269">
        <f>+IF(AND(Q110="Preventivo",AM109="Fuerte"),2,IF(AND(Q110="Preventivo",AM109="Moderado"),1,0))</f>
        <v>2</v>
      </c>
      <c r="AO110" s="269">
        <f t="shared" si="65"/>
        <v>0</v>
      </c>
      <c r="AP110" s="212">
        <f>+K109-AN110</f>
        <v>2</v>
      </c>
      <c r="AQ110" s="212">
        <f>+M109-AO110</f>
        <v>4</v>
      </c>
      <c r="AR110" s="433"/>
      <c r="AS110" s="433"/>
      <c r="AT110" s="433"/>
      <c r="AU110" s="433"/>
      <c r="AV110" s="242"/>
      <c r="AW110" s="374"/>
      <c r="AX110" s="375"/>
      <c r="AY110" s="375"/>
      <c r="AZ110" s="374"/>
      <c r="BA110" s="374"/>
      <c r="BB110" s="608"/>
      <c r="BC110" s="549"/>
      <c r="BD110" s="549"/>
      <c r="BE110" s="557"/>
      <c r="BF110" s="549"/>
      <c r="BG110" s="549"/>
    </row>
    <row r="111" spans="1:59" ht="98">
      <c r="A111" s="437"/>
      <c r="B111" s="439"/>
      <c r="C111" s="500"/>
      <c r="D111" s="502"/>
      <c r="E111" s="149"/>
      <c r="F111" s="149"/>
      <c r="G111" s="137" t="s">
        <v>1574</v>
      </c>
      <c r="H111" s="137" t="s">
        <v>16</v>
      </c>
      <c r="I111" s="137" t="s">
        <v>304</v>
      </c>
      <c r="J111" s="495"/>
      <c r="K111" s="467"/>
      <c r="L111" s="478"/>
      <c r="M111" s="467"/>
      <c r="N111" s="497"/>
      <c r="O111" s="137" t="s">
        <v>305</v>
      </c>
      <c r="P111" s="149" t="s">
        <v>301</v>
      </c>
      <c r="Q111" s="137" t="s">
        <v>20</v>
      </c>
      <c r="R111" s="207" t="s">
        <v>116</v>
      </c>
      <c r="S111" s="208">
        <f t="shared" si="54"/>
        <v>15</v>
      </c>
      <c r="T111" s="207" t="s">
        <v>257</v>
      </c>
      <c r="U111" s="208">
        <f t="shared" si="55"/>
        <v>15</v>
      </c>
      <c r="V111" s="207" t="s">
        <v>257</v>
      </c>
      <c r="W111" s="208">
        <f t="shared" si="56"/>
        <v>15</v>
      </c>
      <c r="X111" s="207" t="s">
        <v>20</v>
      </c>
      <c r="Y111" s="208">
        <f t="shared" si="57"/>
        <v>15</v>
      </c>
      <c r="Z111" s="207" t="s">
        <v>257</v>
      </c>
      <c r="AA111" s="208">
        <f t="shared" si="58"/>
        <v>15</v>
      </c>
      <c r="AB111" s="207" t="s">
        <v>257</v>
      </c>
      <c r="AC111" s="208">
        <f t="shared" si="59"/>
        <v>15</v>
      </c>
      <c r="AD111" s="207" t="s">
        <v>117</v>
      </c>
      <c r="AE111" s="208">
        <f t="shared" si="60"/>
        <v>10</v>
      </c>
      <c r="AF111" s="270">
        <f t="shared" si="61"/>
        <v>100</v>
      </c>
      <c r="AG111" s="270" t="str">
        <f t="shared" si="62"/>
        <v>Fuerte</v>
      </c>
      <c r="AH111" s="209" t="s">
        <v>118</v>
      </c>
      <c r="AI111" s="210" t="str">
        <f t="shared" si="63"/>
        <v>Fuerte</v>
      </c>
      <c r="AJ111" s="211" t="str">
        <f>IFERROR(VLOOKUP((CONCATENATE(AG111,AI111)),Listados!$U$3:$V$11,2,FALSE),"")</f>
        <v>Fuerte</v>
      </c>
      <c r="AK111" s="270">
        <f t="shared" si="64"/>
        <v>100</v>
      </c>
      <c r="AL111" s="447"/>
      <c r="AM111" s="449"/>
      <c r="AN111" s="269">
        <f>+IF(AND(Q111="Preventivo",AM109="Fuerte"),2,IF(AND(Q111="Preventivo",AM109="Moderado"),1,0))</f>
        <v>2</v>
      </c>
      <c r="AO111" s="269">
        <f t="shared" si="65"/>
        <v>0</v>
      </c>
      <c r="AP111" s="212">
        <f>+K109-AN111</f>
        <v>2</v>
      </c>
      <c r="AQ111" s="212">
        <f>+M109-AO111</f>
        <v>4</v>
      </c>
      <c r="AR111" s="433"/>
      <c r="AS111" s="433"/>
      <c r="AT111" s="433"/>
      <c r="AU111" s="433"/>
      <c r="AV111" s="242"/>
      <c r="AW111" s="374"/>
      <c r="AX111" s="375"/>
      <c r="AY111" s="375"/>
      <c r="AZ111" s="374"/>
      <c r="BA111" s="374"/>
      <c r="BB111" s="608"/>
      <c r="BC111" s="549"/>
      <c r="BD111" s="549"/>
      <c r="BE111" s="557"/>
      <c r="BF111" s="549"/>
      <c r="BG111" s="549"/>
    </row>
    <row r="112" spans="1:59" ht="14.5">
      <c r="A112" s="437"/>
      <c r="B112" s="439"/>
      <c r="C112" s="500"/>
      <c r="D112" s="502"/>
      <c r="E112" s="149"/>
      <c r="F112" s="149"/>
      <c r="G112" s="137"/>
      <c r="H112" s="137"/>
      <c r="I112" s="137"/>
      <c r="J112" s="495"/>
      <c r="K112" s="467"/>
      <c r="L112" s="478"/>
      <c r="M112" s="467"/>
      <c r="N112" s="497"/>
      <c r="O112" s="149"/>
      <c r="P112" s="137"/>
      <c r="Q112" s="137"/>
      <c r="R112" s="231"/>
      <c r="S112" s="208" t="str">
        <f t="shared" si="54"/>
        <v/>
      </c>
      <c r="T112" s="231"/>
      <c r="U112" s="208" t="str">
        <f t="shared" si="55"/>
        <v/>
      </c>
      <c r="V112" s="207"/>
      <c r="W112" s="208" t="str">
        <f t="shared" si="56"/>
        <v/>
      </c>
      <c r="X112" s="207"/>
      <c r="Y112" s="208" t="str">
        <f t="shared" si="57"/>
        <v/>
      </c>
      <c r="Z112" s="207"/>
      <c r="AA112" s="208" t="str">
        <f t="shared" si="58"/>
        <v/>
      </c>
      <c r="AB112" s="207"/>
      <c r="AC112" s="208" t="str">
        <f t="shared" si="59"/>
        <v/>
      </c>
      <c r="AD112" s="207"/>
      <c r="AE112" s="208" t="str">
        <f t="shared" si="60"/>
        <v/>
      </c>
      <c r="AF112" s="270" t="str">
        <f t="shared" si="61"/>
        <v/>
      </c>
      <c r="AG112" s="270" t="str">
        <f t="shared" si="62"/>
        <v/>
      </c>
      <c r="AH112" s="209"/>
      <c r="AI112" s="210" t="str">
        <f t="shared" si="63"/>
        <v>Débil</v>
      </c>
      <c r="AJ112" s="211" t="str">
        <f>IFERROR(VLOOKUP((CONCATENATE(AG112,AI112)),Listados!$U$3:$V$11,2,FALSE),"")</f>
        <v/>
      </c>
      <c r="AK112" s="270">
        <f t="shared" si="64"/>
        <v>100</v>
      </c>
      <c r="AL112" s="447"/>
      <c r="AM112" s="449"/>
      <c r="AN112" s="269">
        <f>+IF(AND(Q112="Preventivo",AM109="Fuerte"),2,IF(AND(Q112="Preventivo",AM109="Moderado"),1,0))</f>
        <v>0</v>
      </c>
      <c r="AO112" s="269">
        <f t="shared" si="65"/>
        <v>0</v>
      </c>
      <c r="AP112" s="212">
        <f>+K109-AN112</f>
        <v>4</v>
      </c>
      <c r="AQ112" s="212">
        <f>+M109-AO112</f>
        <v>4</v>
      </c>
      <c r="AR112" s="433"/>
      <c r="AS112" s="433"/>
      <c r="AT112" s="433"/>
      <c r="AU112" s="433"/>
      <c r="AV112" s="242"/>
      <c r="AW112" s="374"/>
      <c r="AX112" s="375"/>
      <c r="AY112" s="375"/>
      <c r="AZ112" s="374"/>
      <c r="BA112" s="374"/>
      <c r="BB112" s="608"/>
      <c r="BC112" s="549"/>
      <c r="BD112" s="549"/>
      <c r="BE112" s="557"/>
      <c r="BF112" s="549"/>
      <c r="BG112" s="549"/>
    </row>
    <row r="113" spans="1:59" ht="14.5">
      <c r="A113" s="437"/>
      <c r="B113" s="439"/>
      <c r="C113" s="500"/>
      <c r="D113" s="502"/>
      <c r="E113" s="149"/>
      <c r="F113" s="149"/>
      <c r="G113" s="137"/>
      <c r="H113" s="137"/>
      <c r="I113" s="137"/>
      <c r="J113" s="495"/>
      <c r="K113" s="467"/>
      <c r="L113" s="478"/>
      <c r="M113" s="467"/>
      <c r="N113" s="497"/>
      <c r="O113" s="149"/>
      <c r="P113" s="137"/>
      <c r="Q113" s="137"/>
      <c r="R113" s="231"/>
      <c r="S113" s="208" t="str">
        <f t="shared" si="54"/>
        <v/>
      </c>
      <c r="T113" s="231"/>
      <c r="U113" s="208" t="str">
        <f t="shared" si="55"/>
        <v/>
      </c>
      <c r="V113" s="207"/>
      <c r="W113" s="208" t="str">
        <f t="shared" si="56"/>
        <v/>
      </c>
      <c r="X113" s="207"/>
      <c r="Y113" s="208" t="str">
        <f t="shared" si="57"/>
        <v/>
      </c>
      <c r="Z113" s="207"/>
      <c r="AA113" s="208" t="str">
        <f t="shared" si="58"/>
        <v/>
      </c>
      <c r="AB113" s="207"/>
      <c r="AC113" s="208" t="str">
        <f t="shared" si="59"/>
        <v/>
      </c>
      <c r="AD113" s="207"/>
      <c r="AE113" s="208" t="str">
        <f t="shared" si="60"/>
        <v/>
      </c>
      <c r="AF113" s="270" t="str">
        <f t="shared" si="61"/>
        <v/>
      </c>
      <c r="AG113" s="270" t="str">
        <f t="shared" si="62"/>
        <v/>
      </c>
      <c r="AH113" s="209"/>
      <c r="AI113" s="210" t="str">
        <f t="shared" si="63"/>
        <v>Débil</v>
      </c>
      <c r="AJ113" s="211" t="str">
        <f>IFERROR(VLOOKUP((CONCATENATE(AG113,AI113)),Listados!$U$3:$V$11,2,FALSE),"")</f>
        <v/>
      </c>
      <c r="AK113" s="270">
        <f t="shared" si="64"/>
        <v>100</v>
      </c>
      <c r="AL113" s="447"/>
      <c r="AM113" s="449"/>
      <c r="AN113" s="269">
        <f>+IF(AND(Q113="Preventivo",AM109="Fuerte"),2,IF(AND(Q113="Preventivo",AM109="Moderado"),1,0))</f>
        <v>0</v>
      </c>
      <c r="AO113" s="269">
        <f t="shared" si="65"/>
        <v>0</v>
      </c>
      <c r="AP113" s="212">
        <f>+K109-AN113</f>
        <v>4</v>
      </c>
      <c r="AQ113" s="212">
        <f>+M109-AO113</f>
        <v>4</v>
      </c>
      <c r="AR113" s="433"/>
      <c r="AS113" s="433"/>
      <c r="AT113" s="433"/>
      <c r="AU113" s="433"/>
      <c r="AV113" s="242"/>
      <c r="AW113" s="374"/>
      <c r="AX113" s="375"/>
      <c r="AY113" s="375"/>
      <c r="AZ113" s="374"/>
      <c r="BA113" s="374"/>
      <c r="BB113" s="608"/>
      <c r="BC113" s="549"/>
      <c r="BD113" s="549"/>
      <c r="BE113" s="557"/>
      <c r="BF113" s="549"/>
      <c r="BG113" s="549"/>
    </row>
    <row r="114" spans="1:59" ht="15" thickBot="1">
      <c r="A114" s="438"/>
      <c r="B114" s="439"/>
      <c r="C114" s="500"/>
      <c r="D114" s="502"/>
      <c r="E114" s="149"/>
      <c r="F114" s="149"/>
      <c r="G114" s="137"/>
      <c r="H114" s="137"/>
      <c r="I114" s="137"/>
      <c r="J114" s="495"/>
      <c r="K114" s="468"/>
      <c r="L114" s="478"/>
      <c r="M114" s="468"/>
      <c r="N114" s="497"/>
      <c r="O114" s="149"/>
      <c r="P114" s="137"/>
      <c r="Q114" s="137"/>
      <c r="R114" s="231"/>
      <c r="S114" s="208" t="str">
        <f t="shared" si="54"/>
        <v/>
      </c>
      <c r="T114" s="231"/>
      <c r="U114" s="208" t="str">
        <f t="shared" si="55"/>
        <v/>
      </c>
      <c r="V114" s="207"/>
      <c r="W114" s="208" t="str">
        <f t="shared" si="56"/>
        <v/>
      </c>
      <c r="X114" s="207"/>
      <c r="Y114" s="208" t="str">
        <f t="shared" si="57"/>
        <v/>
      </c>
      <c r="Z114" s="207"/>
      <c r="AA114" s="208" t="str">
        <f t="shared" si="58"/>
        <v/>
      </c>
      <c r="AB114" s="207"/>
      <c r="AC114" s="208" t="str">
        <f t="shared" si="59"/>
        <v/>
      </c>
      <c r="AD114" s="207"/>
      <c r="AE114" s="208" t="str">
        <f t="shared" si="60"/>
        <v/>
      </c>
      <c r="AF114" s="270" t="str">
        <f t="shared" si="61"/>
        <v/>
      </c>
      <c r="AG114" s="270" t="str">
        <f t="shared" si="62"/>
        <v/>
      </c>
      <c r="AH114" s="209"/>
      <c r="AI114" s="210" t="str">
        <f t="shared" si="63"/>
        <v>Débil</v>
      </c>
      <c r="AJ114" s="211" t="str">
        <f>IFERROR(VLOOKUP((CONCATENATE(AG114,AI114)),Listados!$U$3:$V$11,2,FALSE),"")</f>
        <v/>
      </c>
      <c r="AK114" s="270">
        <f t="shared" si="64"/>
        <v>100</v>
      </c>
      <c r="AL114" s="448"/>
      <c r="AM114" s="449"/>
      <c r="AN114" s="269">
        <f>+IF(AND(Q114="Preventivo",AM109="Fuerte"),2,IF(AND(Q114="Preventivo",AM109="Moderado"),1,0))</f>
        <v>0</v>
      </c>
      <c r="AO114" s="269">
        <f t="shared" si="65"/>
        <v>0</v>
      </c>
      <c r="AP114" s="212">
        <f>+K109-AN114</f>
        <v>4</v>
      </c>
      <c r="AQ114" s="212">
        <f>+M109-AO114</f>
        <v>4</v>
      </c>
      <c r="AR114" s="434"/>
      <c r="AS114" s="434"/>
      <c r="AT114" s="434"/>
      <c r="AU114" s="434"/>
      <c r="AV114" s="242"/>
      <c r="AW114" s="374"/>
      <c r="AX114" s="375"/>
      <c r="AY114" s="375"/>
      <c r="AZ114" s="374"/>
      <c r="BA114" s="374"/>
      <c r="BB114" s="609"/>
      <c r="BC114" s="550"/>
      <c r="BD114" s="550"/>
      <c r="BE114" s="558"/>
      <c r="BF114" s="550"/>
      <c r="BG114" s="550"/>
    </row>
    <row r="115" spans="1:59" ht="140" customHeight="1">
      <c r="A115" s="436">
        <v>20</v>
      </c>
      <c r="B115" s="439" t="s">
        <v>95</v>
      </c>
      <c r="C115" s="500" t="str">
        <f>IFERROR(VLOOKUP(B115,Listados!B$3:C$20,2,FALSE),"")</f>
        <v>Apoyar a las diferentes dependencias de la Entidad y del Sector Justicia en el cumplimiento de su función administrativa, emitir conceptos jurídicos, defender y representar jurídicamente al Ministerio de Justicia y del Derecho</v>
      </c>
      <c r="D115" s="516" t="s">
        <v>1643</v>
      </c>
      <c r="E115" s="149" t="s">
        <v>52</v>
      </c>
      <c r="F115" s="149" t="s">
        <v>189</v>
      </c>
      <c r="G115" s="137" t="s">
        <v>306</v>
      </c>
      <c r="H115" s="137" t="s">
        <v>16</v>
      </c>
      <c r="I115" s="137" t="s">
        <v>307</v>
      </c>
      <c r="J115" s="500" t="s">
        <v>44</v>
      </c>
      <c r="K115" s="466">
        <f>+VLOOKUP(J115,Listados!$K$8:$L$12,2,0)</f>
        <v>3</v>
      </c>
      <c r="L115" s="468" t="s">
        <v>54</v>
      </c>
      <c r="M115" s="466">
        <f>+VLOOKUP(L115,Listados!$K$13:$L$17,2,0)</f>
        <v>4</v>
      </c>
      <c r="N115" s="496" t="str">
        <f>IF(AND(J115&lt;&gt;"",L115&lt;&gt;""),VLOOKUP(J115&amp;L115,Listados!$M$3:$N$27,2,FALSE),"")</f>
        <v>Extremo</v>
      </c>
      <c r="O115" s="272" t="s">
        <v>308</v>
      </c>
      <c r="P115" s="272" t="s">
        <v>309</v>
      </c>
      <c r="Q115" s="151" t="s">
        <v>20</v>
      </c>
      <c r="R115" s="207" t="s">
        <v>116</v>
      </c>
      <c r="S115" s="208">
        <f t="shared" si="54"/>
        <v>15</v>
      </c>
      <c r="T115" s="207" t="s">
        <v>257</v>
      </c>
      <c r="U115" s="208">
        <f t="shared" si="55"/>
        <v>15</v>
      </c>
      <c r="V115" s="207" t="s">
        <v>257</v>
      </c>
      <c r="W115" s="208">
        <f t="shared" si="56"/>
        <v>15</v>
      </c>
      <c r="X115" s="207" t="s">
        <v>20</v>
      </c>
      <c r="Y115" s="208">
        <f t="shared" si="57"/>
        <v>15</v>
      </c>
      <c r="Z115" s="207" t="s">
        <v>257</v>
      </c>
      <c r="AA115" s="208">
        <f t="shared" si="58"/>
        <v>15</v>
      </c>
      <c r="AB115" s="207" t="s">
        <v>257</v>
      </c>
      <c r="AC115" s="208">
        <f t="shared" si="59"/>
        <v>15</v>
      </c>
      <c r="AD115" s="207" t="s">
        <v>117</v>
      </c>
      <c r="AE115" s="208">
        <f t="shared" si="60"/>
        <v>10</v>
      </c>
      <c r="AF115" s="270">
        <f t="shared" si="61"/>
        <v>100</v>
      </c>
      <c r="AG115" s="270" t="str">
        <f t="shared" si="62"/>
        <v>Fuerte</v>
      </c>
      <c r="AH115" s="209" t="s">
        <v>118</v>
      </c>
      <c r="AI115" s="210" t="str">
        <f t="shared" si="63"/>
        <v>Fuerte</v>
      </c>
      <c r="AJ115" s="211" t="str">
        <f>IFERROR(VLOOKUP((CONCATENATE(AG115,AI115)),Listados!$U$3:$V$11,2,FALSE),"")</f>
        <v>Fuerte</v>
      </c>
      <c r="AK115" s="270">
        <f t="shared" si="64"/>
        <v>100</v>
      </c>
      <c r="AL115" s="446">
        <f>AVERAGE(AK115:AK120)</f>
        <v>100</v>
      </c>
      <c r="AM115" s="448" t="str">
        <f>IF(AL115&lt;=50, "Débil", IF(AL115&lt;=99,"Moderado","Fuerte"))</f>
        <v>Fuerte</v>
      </c>
      <c r="AN115" s="269">
        <f>+IF(AND(Q115="Preventivo",AM115="Fuerte"),2,IF(AND(Q115="Preventivo",AM115="Moderado"),1,0))</f>
        <v>2</v>
      </c>
      <c r="AO115" s="269">
        <f t="shared" si="65"/>
        <v>0</v>
      </c>
      <c r="AP115" s="212">
        <f>+K115-AN115</f>
        <v>1</v>
      </c>
      <c r="AQ115" s="212">
        <f>+M115-AO115</f>
        <v>4</v>
      </c>
      <c r="AR115" s="435" t="str">
        <f>+VLOOKUP(MIN(AP115,AP116,AP117,AP118,AP119,AP120),Listados!$J$18:$K$24,2,TRUE)</f>
        <v>Rara Vez</v>
      </c>
      <c r="AS115" s="435" t="str">
        <f>+VLOOKUP(MIN(AQ115,AQ116,AQ117,AQ118,AQ119,AQ120),Listados!$J$27:$K$32,2,TRUE)</f>
        <v>Mayor</v>
      </c>
      <c r="AT115" s="435" t="str">
        <f>IF(AND(AR115&lt;&gt;"",AS115&lt;&gt;""),VLOOKUP(AR115&amp;AS115,Listados!$M$3:$N$27,2,FALSE),"")</f>
        <v>Alto</v>
      </c>
      <c r="AU115" s="435" t="str">
        <f>+VLOOKUP(AT115,Listados!$P$3:$Q$6,2,FALSE)</f>
        <v>Reducir el riesgo</v>
      </c>
      <c r="AV115" s="585" t="s">
        <v>1147</v>
      </c>
      <c r="AW115" s="585" t="s">
        <v>1148</v>
      </c>
      <c r="AX115" s="586">
        <v>44927</v>
      </c>
      <c r="AY115" s="586">
        <v>45291</v>
      </c>
      <c r="AZ115" s="585" t="s">
        <v>1149</v>
      </c>
      <c r="BA115" s="585" t="s">
        <v>1150</v>
      </c>
      <c r="BB115" s="589" t="s">
        <v>1490</v>
      </c>
      <c r="BC115" s="585" t="s">
        <v>1646</v>
      </c>
      <c r="BD115" s="585"/>
      <c r="BE115" s="606" t="s">
        <v>1520</v>
      </c>
      <c r="BF115" s="559" t="s">
        <v>1827</v>
      </c>
      <c r="BG115" s="585"/>
    </row>
    <row r="116" spans="1:59" ht="140">
      <c r="A116" s="437"/>
      <c r="B116" s="439"/>
      <c r="C116" s="500"/>
      <c r="D116" s="516"/>
      <c r="E116" s="149"/>
      <c r="F116" s="149"/>
      <c r="G116" s="137" t="s">
        <v>310</v>
      </c>
      <c r="H116" s="137" t="s">
        <v>16</v>
      </c>
      <c r="I116" s="137" t="s">
        <v>239</v>
      </c>
      <c r="J116" s="500"/>
      <c r="K116" s="467"/>
      <c r="L116" s="515"/>
      <c r="M116" s="467"/>
      <c r="N116" s="497"/>
      <c r="O116" s="151" t="s">
        <v>311</v>
      </c>
      <c r="P116" s="272" t="s">
        <v>309</v>
      </c>
      <c r="Q116" s="151" t="s">
        <v>123</v>
      </c>
      <c r="R116" s="207" t="s">
        <v>116</v>
      </c>
      <c r="S116" s="208">
        <f t="shared" si="54"/>
        <v>15</v>
      </c>
      <c r="T116" s="207" t="s">
        <v>257</v>
      </c>
      <c r="U116" s="208">
        <f t="shared" si="55"/>
        <v>15</v>
      </c>
      <c r="V116" s="207" t="s">
        <v>257</v>
      </c>
      <c r="W116" s="208">
        <f t="shared" si="56"/>
        <v>15</v>
      </c>
      <c r="X116" s="207" t="s">
        <v>20</v>
      </c>
      <c r="Y116" s="208">
        <f t="shared" si="57"/>
        <v>15</v>
      </c>
      <c r="Z116" s="207" t="s">
        <v>257</v>
      </c>
      <c r="AA116" s="208">
        <f t="shared" si="58"/>
        <v>15</v>
      </c>
      <c r="AB116" s="207" t="s">
        <v>257</v>
      </c>
      <c r="AC116" s="208">
        <f t="shared" si="59"/>
        <v>15</v>
      </c>
      <c r="AD116" s="207" t="s">
        <v>117</v>
      </c>
      <c r="AE116" s="208">
        <f t="shared" si="60"/>
        <v>10</v>
      </c>
      <c r="AF116" s="270">
        <f t="shared" si="61"/>
        <v>100</v>
      </c>
      <c r="AG116" s="270" t="str">
        <f t="shared" si="62"/>
        <v>Fuerte</v>
      </c>
      <c r="AH116" s="209" t="s">
        <v>118</v>
      </c>
      <c r="AI116" s="210" t="str">
        <f t="shared" si="63"/>
        <v>Fuerte</v>
      </c>
      <c r="AJ116" s="211" t="str">
        <f>IFERROR(VLOOKUP((CONCATENATE(AG116,AI116)),Listados!$U$3:$V$11,2,FALSE),"")</f>
        <v>Fuerte</v>
      </c>
      <c r="AK116" s="270">
        <f t="shared" si="64"/>
        <v>100</v>
      </c>
      <c r="AL116" s="447"/>
      <c r="AM116" s="449"/>
      <c r="AN116" s="269">
        <f>+IF(AND(Q116="Preventivo",AM115="Fuerte"),2,IF(AND(Q116="Preventivo",AM115="Moderado"),1,0))</f>
        <v>0</v>
      </c>
      <c r="AO116" s="269">
        <f t="shared" si="65"/>
        <v>0</v>
      </c>
      <c r="AP116" s="212">
        <f>+K115-AN116</f>
        <v>3</v>
      </c>
      <c r="AQ116" s="212">
        <f>+M115-AO116</f>
        <v>4</v>
      </c>
      <c r="AR116" s="433"/>
      <c r="AS116" s="433"/>
      <c r="AT116" s="433"/>
      <c r="AU116" s="433"/>
      <c r="AV116" s="562"/>
      <c r="AW116" s="562"/>
      <c r="AX116" s="587"/>
      <c r="AY116" s="587"/>
      <c r="AZ116" s="562"/>
      <c r="BA116" s="562"/>
      <c r="BB116" s="590"/>
      <c r="BC116" s="562"/>
      <c r="BD116" s="562"/>
      <c r="BE116" s="549"/>
      <c r="BF116" s="549"/>
      <c r="BG116" s="562"/>
    </row>
    <row r="117" spans="1:59" ht="126" customHeight="1">
      <c r="A117" s="437"/>
      <c r="B117" s="439"/>
      <c r="C117" s="500"/>
      <c r="D117" s="516"/>
      <c r="E117" s="149"/>
      <c r="F117" s="149"/>
      <c r="G117" s="137" t="s">
        <v>309</v>
      </c>
      <c r="H117" s="137" t="s">
        <v>16</v>
      </c>
      <c r="I117" s="137" t="s">
        <v>312</v>
      </c>
      <c r="J117" s="500"/>
      <c r="K117" s="467"/>
      <c r="L117" s="515"/>
      <c r="M117" s="467"/>
      <c r="N117" s="497"/>
      <c r="O117" s="290" t="s">
        <v>313</v>
      </c>
      <c r="P117" s="272" t="s">
        <v>314</v>
      </c>
      <c r="Q117" s="151" t="s">
        <v>20</v>
      </c>
      <c r="R117" s="207" t="s">
        <v>116</v>
      </c>
      <c r="S117" s="208">
        <f t="shared" si="54"/>
        <v>15</v>
      </c>
      <c r="T117" s="207" t="s">
        <v>257</v>
      </c>
      <c r="U117" s="208">
        <f t="shared" si="55"/>
        <v>15</v>
      </c>
      <c r="V117" s="207" t="s">
        <v>257</v>
      </c>
      <c r="W117" s="208">
        <f t="shared" si="56"/>
        <v>15</v>
      </c>
      <c r="X117" s="207" t="s">
        <v>20</v>
      </c>
      <c r="Y117" s="208">
        <f t="shared" si="57"/>
        <v>15</v>
      </c>
      <c r="Z117" s="207" t="s">
        <v>257</v>
      </c>
      <c r="AA117" s="208">
        <f t="shared" si="58"/>
        <v>15</v>
      </c>
      <c r="AB117" s="207" t="s">
        <v>257</v>
      </c>
      <c r="AC117" s="208">
        <f t="shared" si="59"/>
        <v>15</v>
      </c>
      <c r="AD117" s="207" t="s">
        <v>117</v>
      </c>
      <c r="AE117" s="208">
        <f t="shared" si="60"/>
        <v>10</v>
      </c>
      <c r="AF117" s="270">
        <f t="shared" si="61"/>
        <v>100</v>
      </c>
      <c r="AG117" s="270" t="str">
        <f t="shared" si="62"/>
        <v>Fuerte</v>
      </c>
      <c r="AH117" s="209" t="s">
        <v>118</v>
      </c>
      <c r="AI117" s="210" t="str">
        <f t="shared" si="63"/>
        <v>Fuerte</v>
      </c>
      <c r="AJ117" s="211" t="str">
        <f>IFERROR(VLOOKUP((CONCATENATE(AG117,AI117)),Listados!$U$3:$V$11,2,FALSE),"")</f>
        <v>Fuerte</v>
      </c>
      <c r="AK117" s="270">
        <f t="shared" si="64"/>
        <v>100</v>
      </c>
      <c r="AL117" s="447"/>
      <c r="AM117" s="449"/>
      <c r="AN117" s="269">
        <f>+IF(AND(Q117="Preventivo",AM115="Fuerte"),2,IF(AND(Q117="Preventivo",AM115="Moderado"),1,0))</f>
        <v>2</v>
      </c>
      <c r="AO117" s="269">
        <f t="shared" si="65"/>
        <v>0</v>
      </c>
      <c r="AP117" s="212">
        <f>+K115-AN117</f>
        <v>1</v>
      </c>
      <c r="AQ117" s="212">
        <f>+M115-AO117</f>
        <v>4</v>
      </c>
      <c r="AR117" s="433"/>
      <c r="AS117" s="433"/>
      <c r="AT117" s="433"/>
      <c r="AU117" s="433"/>
      <c r="AV117" s="562"/>
      <c r="AW117" s="562"/>
      <c r="AX117" s="587"/>
      <c r="AY117" s="587"/>
      <c r="AZ117" s="562"/>
      <c r="BA117" s="562"/>
      <c r="BB117" s="590"/>
      <c r="BC117" s="562"/>
      <c r="BD117" s="562"/>
      <c r="BE117" s="549"/>
      <c r="BF117" s="549"/>
      <c r="BG117" s="562"/>
    </row>
    <row r="118" spans="1:59" ht="126">
      <c r="A118" s="437"/>
      <c r="B118" s="439"/>
      <c r="C118" s="500"/>
      <c r="D118" s="516"/>
      <c r="E118" s="149"/>
      <c r="F118" s="149"/>
      <c r="G118" s="137" t="s">
        <v>1644</v>
      </c>
      <c r="H118" s="137"/>
      <c r="I118" s="137" t="s">
        <v>1645</v>
      </c>
      <c r="J118" s="500"/>
      <c r="K118" s="467"/>
      <c r="L118" s="515"/>
      <c r="M118" s="467"/>
      <c r="N118" s="497"/>
      <c r="O118" s="151" t="s">
        <v>315</v>
      </c>
      <c r="P118" s="272" t="s">
        <v>310</v>
      </c>
      <c r="Q118" s="151" t="s">
        <v>20</v>
      </c>
      <c r="R118" s="207" t="s">
        <v>116</v>
      </c>
      <c r="S118" s="208">
        <f t="shared" si="54"/>
        <v>15</v>
      </c>
      <c r="T118" s="207" t="s">
        <v>257</v>
      </c>
      <c r="U118" s="208">
        <f t="shared" si="55"/>
        <v>15</v>
      </c>
      <c r="V118" s="207" t="s">
        <v>257</v>
      </c>
      <c r="W118" s="208">
        <f t="shared" si="56"/>
        <v>15</v>
      </c>
      <c r="X118" s="207" t="s">
        <v>20</v>
      </c>
      <c r="Y118" s="208">
        <f t="shared" si="57"/>
        <v>15</v>
      </c>
      <c r="Z118" s="207" t="s">
        <v>257</v>
      </c>
      <c r="AA118" s="208">
        <f t="shared" si="58"/>
        <v>15</v>
      </c>
      <c r="AB118" s="207" t="s">
        <v>257</v>
      </c>
      <c r="AC118" s="208">
        <f t="shared" si="59"/>
        <v>15</v>
      </c>
      <c r="AD118" s="207" t="s">
        <v>117</v>
      </c>
      <c r="AE118" s="208">
        <f t="shared" si="60"/>
        <v>10</v>
      </c>
      <c r="AF118" s="270">
        <f t="shared" si="61"/>
        <v>100</v>
      </c>
      <c r="AG118" s="270" t="str">
        <f t="shared" si="62"/>
        <v>Fuerte</v>
      </c>
      <c r="AH118" s="209" t="s">
        <v>118</v>
      </c>
      <c r="AI118" s="210" t="str">
        <f t="shared" si="63"/>
        <v>Fuerte</v>
      </c>
      <c r="AJ118" s="211" t="str">
        <f>IFERROR(VLOOKUP((CONCATENATE(AG118,AI118)),Listados!$U$3:$V$11,2,FALSE),"")</f>
        <v>Fuerte</v>
      </c>
      <c r="AK118" s="270">
        <f t="shared" si="64"/>
        <v>100</v>
      </c>
      <c r="AL118" s="447"/>
      <c r="AM118" s="449"/>
      <c r="AN118" s="269">
        <f>+IF(AND(Q118="Preventivo",AM115="Fuerte"),2,IF(AND(Q118="Preventivo",AM115="Moderado"),1,0))</f>
        <v>2</v>
      </c>
      <c r="AO118" s="269">
        <f t="shared" si="65"/>
        <v>0</v>
      </c>
      <c r="AP118" s="212">
        <f>+K115-AN118</f>
        <v>1</v>
      </c>
      <c r="AQ118" s="212">
        <f>+M115-AO118</f>
        <v>4</v>
      </c>
      <c r="AR118" s="433"/>
      <c r="AS118" s="433"/>
      <c r="AT118" s="433"/>
      <c r="AU118" s="433"/>
      <c r="AV118" s="562"/>
      <c r="AW118" s="562"/>
      <c r="AX118" s="587"/>
      <c r="AY118" s="587"/>
      <c r="AZ118" s="562"/>
      <c r="BA118" s="562"/>
      <c r="BB118" s="590"/>
      <c r="BC118" s="562"/>
      <c r="BD118" s="562"/>
      <c r="BE118" s="549"/>
      <c r="BF118" s="549"/>
      <c r="BG118" s="562"/>
    </row>
    <row r="119" spans="1:59" ht="14.15" customHeight="1">
      <c r="A119" s="437"/>
      <c r="B119" s="439"/>
      <c r="C119" s="500"/>
      <c r="D119" s="516"/>
      <c r="E119" s="149"/>
      <c r="F119" s="149"/>
      <c r="G119" s="137"/>
      <c r="H119" s="137"/>
      <c r="I119" s="137"/>
      <c r="J119" s="500"/>
      <c r="K119" s="467"/>
      <c r="L119" s="515"/>
      <c r="M119" s="467"/>
      <c r="N119" s="497"/>
      <c r="O119" s="149"/>
      <c r="P119" s="137"/>
      <c r="Q119" s="137"/>
      <c r="R119" s="231"/>
      <c r="S119" s="208" t="str">
        <f t="shared" si="54"/>
        <v/>
      </c>
      <c r="T119" s="231"/>
      <c r="U119" s="208" t="str">
        <f t="shared" si="55"/>
        <v/>
      </c>
      <c r="V119" s="207"/>
      <c r="W119" s="208" t="str">
        <f t="shared" si="56"/>
        <v/>
      </c>
      <c r="X119" s="207"/>
      <c r="Y119" s="208" t="str">
        <f t="shared" si="57"/>
        <v/>
      </c>
      <c r="Z119" s="207"/>
      <c r="AA119" s="208" t="str">
        <f t="shared" si="58"/>
        <v/>
      </c>
      <c r="AB119" s="207"/>
      <c r="AC119" s="208" t="str">
        <f t="shared" si="59"/>
        <v/>
      </c>
      <c r="AD119" s="207"/>
      <c r="AE119" s="208" t="str">
        <f t="shared" si="60"/>
        <v/>
      </c>
      <c r="AF119" s="270" t="str">
        <f t="shared" si="61"/>
        <v/>
      </c>
      <c r="AG119" s="270" t="str">
        <f t="shared" si="62"/>
        <v/>
      </c>
      <c r="AH119" s="209"/>
      <c r="AI119" s="210" t="str">
        <f t="shared" si="63"/>
        <v>Débil</v>
      </c>
      <c r="AJ119" s="211" t="str">
        <f>IFERROR(VLOOKUP((CONCATENATE(AG119,AI119)),Listados!$U$3:$V$11,2,FALSE),"")</f>
        <v/>
      </c>
      <c r="AK119" s="270">
        <f t="shared" si="64"/>
        <v>100</v>
      </c>
      <c r="AL119" s="447"/>
      <c r="AM119" s="449"/>
      <c r="AN119" s="269">
        <f>+IF(AND(Q119="Preventivo",AM115="Fuerte"),2,IF(AND(Q119="Preventivo",AM115="Moderado"),1,0))</f>
        <v>0</v>
      </c>
      <c r="AO119" s="269">
        <f t="shared" si="65"/>
        <v>0</v>
      </c>
      <c r="AP119" s="212">
        <f>+K115-AN119</f>
        <v>3</v>
      </c>
      <c r="AQ119" s="212">
        <f>+M115-AO119</f>
        <v>4</v>
      </c>
      <c r="AR119" s="433"/>
      <c r="AS119" s="433"/>
      <c r="AT119" s="433"/>
      <c r="AU119" s="433"/>
      <c r="AV119" s="562"/>
      <c r="AW119" s="562"/>
      <c r="AX119" s="587"/>
      <c r="AY119" s="587"/>
      <c r="AZ119" s="562"/>
      <c r="BA119" s="562"/>
      <c r="BB119" s="590"/>
      <c r="BC119" s="562"/>
      <c r="BD119" s="562"/>
      <c r="BE119" s="549"/>
      <c r="BF119" s="549"/>
      <c r="BG119" s="562"/>
    </row>
    <row r="120" spans="1:59" ht="14.5" customHeight="1" thickBot="1">
      <c r="A120" s="438"/>
      <c r="B120" s="439"/>
      <c r="C120" s="500"/>
      <c r="D120" s="516"/>
      <c r="E120" s="149"/>
      <c r="F120" s="149"/>
      <c r="G120" s="137"/>
      <c r="H120" s="137"/>
      <c r="I120" s="137"/>
      <c r="J120" s="500"/>
      <c r="K120" s="468"/>
      <c r="L120" s="515"/>
      <c r="M120" s="468"/>
      <c r="N120" s="497"/>
      <c r="O120" s="149"/>
      <c r="P120" s="137"/>
      <c r="Q120" s="137"/>
      <c r="R120" s="231"/>
      <c r="S120" s="208" t="str">
        <f t="shared" si="54"/>
        <v/>
      </c>
      <c r="T120" s="231"/>
      <c r="U120" s="208" t="str">
        <f t="shared" si="55"/>
        <v/>
      </c>
      <c r="V120" s="207"/>
      <c r="W120" s="208" t="str">
        <f t="shared" si="56"/>
        <v/>
      </c>
      <c r="X120" s="207"/>
      <c r="Y120" s="208" t="str">
        <f t="shared" si="57"/>
        <v/>
      </c>
      <c r="Z120" s="207"/>
      <c r="AA120" s="208" t="str">
        <f t="shared" si="58"/>
        <v/>
      </c>
      <c r="AB120" s="207"/>
      <c r="AC120" s="208" t="str">
        <f t="shared" si="59"/>
        <v/>
      </c>
      <c r="AD120" s="207"/>
      <c r="AE120" s="208" t="str">
        <f t="shared" si="60"/>
        <v/>
      </c>
      <c r="AF120" s="270" t="str">
        <f t="shared" si="61"/>
        <v/>
      </c>
      <c r="AG120" s="270" t="str">
        <f t="shared" si="62"/>
        <v/>
      </c>
      <c r="AH120" s="209"/>
      <c r="AI120" s="210" t="str">
        <f t="shared" si="63"/>
        <v>Débil</v>
      </c>
      <c r="AJ120" s="211" t="str">
        <f>IFERROR(VLOOKUP((CONCATENATE(AG120,AI120)),Listados!$U$3:$V$11,2,FALSE),"")</f>
        <v/>
      </c>
      <c r="AK120" s="270">
        <f t="shared" si="64"/>
        <v>100</v>
      </c>
      <c r="AL120" s="448"/>
      <c r="AM120" s="449"/>
      <c r="AN120" s="269">
        <f>+IF(AND(Q120="Preventivo",AM115="Fuerte"),2,IF(AND(Q120="Preventivo",AM115="Moderado"),1,0))</f>
        <v>0</v>
      </c>
      <c r="AO120" s="269">
        <f t="shared" si="65"/>
        <v>0</v>
      </c>
      <c r="AP120" s="212">
        <f>+K115-AN120</f>
        <v>3</v>
      </c>
      <c r="AQ120" s="212">
        <f>+M115-AO120</f>
        <v>4</v>
      </c>
      <c r="AR120" s="434"/>
      <c r="AS120" s="434"/>
      <c r="AT120" s="434"/>
      <c r="AU120" s="434"/>
      <c r="AV120" s="563"/>
      <c r="AW120" s="563"/>
      <c r="AX120" s="588"/>
      <c r="AY120" s="588"/>
      <c r="AZ120" s="563"/>
      <c r="BA120" s="563"/>
      <c r="BB120" s="591"/>
      <c r="BC120" s="563"/>
      <c r="BD120" s="563"/>
      <c r="BE120" s="550"/>
      <c r="BF120" s="550"/>
      <c r="BG120" s="563"/>
    </row>
    <row r="121" spans="1:59" ht="126">
      <c r="A121" s="436">
        <v>21</v>
      </c>
      <c r="B121" s="439" t="s">
        <v>95</v>
      </c>
      <c r="C121" s="500" t="str">
        <f>IFERROR(VLOOKUP(B121,Listados!B$3:C$20,2,FALSE),"")</f>
        <v>Apoyar a las diferentes dependencias de la Entidad y del Sector Justicia en el cumplimiento de su función administrativa, emitir conceptos jurídicos, defender y representar jurídicamente al Ministerio de Justicia y del Derecho</v>
      </c>
      <c r="D121" s="502" t="s">
        <v>1288</v>
      </c>
      <c r="E121" s="149" t="s">
        <v>41</v>
      </c>
      <c r="F121" s="149" t="s">
        <v>189</v>
      </c>
      <c r="G121" s="149" t="s">
        <v>316</v>
      </c>
      <c r="H121" s="137" t="s">
        <v>16</v>
      </c>
      <c r="I121" s="137" t="s">
        <v>317</v>
      </c>
      <c r="J121" s="495" t="s">
        <v>21</v>
      </c>
      <c r="K121" s="466">
        <f>+VLOOKUP(J121,Listados!$K$8:$L$12,2,0)</f>
        <v>1</v>
      </c>
      <c r="L121" s="477" t="s">
        <v>54</v>
      </c>
      <c r="M121" s="466">
        <f>+VLOOKUP(L121,Listados!$K$13:$L$17,2,0)</f>
        <v>4</v>
      </c>
      <c r="N121" s="496" t="str">
        <f>IF(AND(J121&lt;&gt;"",L121&lt;&gt;""),VLOOKUP(J121&amp;L121,Listados!$M$3:$N$27,2,FALSE),"")</f>
        <v>Alto</v>
      </c>
      <c r="O121" s="272" t="s">
        <v>318</v>
      </c>
      <c r="P121" s="151" t="s">
        <v>319</v>
      </c>
      <c r="Q121" s="151" t="s">
        <v>123</v>
      </c>
      <c r="R121" s="207" t="s">
        <v>116</v>
      </c>
      <c r="S121" s="208">
        <f t="shared" si="54"/>
        <v>15</v>
      </c>
      <c r="T121" s="207" t="s">
        <v>257</v>
      </c>
      <c r="U121" s="208">
        <f t="shared" si="55"/>
        <v>15</v>
      </c>
      <c r="V121" s="207" t="s">
        <v>257</v>
      </c>
      <c r="W121" s="208">
        <f t="shared" si="56"/>
        <v>15</v>
      </c>
      <c r="X121" s="207" t="s">
        <v>20</v>
      </c>
      <c r="Y121" s="208">
        <f t="shared" si="57"/>
        <v>15</v>
      </c>
      <c r="Z121" s="207" t="s">
        <v>257</v>
      </c>
      <c r="AA121" s="208">
        <f t="shared" si="58"/>
        <v>15</v>
      </c>
      <c r="AB121" s="207" t="s">
        <v>257</v>
      </c>
      <c r="AC121" s="208">
        <f t="shared" si="59"/>
        <v>15</v>
      </c>
      <c r="AD121" s="207" t="s">
        <v>117</v>
      </c>
      <c r="AE121" s="208">
        <f t="shared" si="60"/>
        <v>10</v>
      </c>
      <c r="AF121" s="270">
        <f t="shared" si="61"/>
        <v>100</v>
      </c>
      <c r="AG121" s="270" t="str">
        <f t="shared" si="62"/>
        <v>Fuerte</v>
      </c>
      <c r="AH121" s="209" t="s">
        <v>118</v>
      </c>
      <c r="AI121" s="210" t="str">
        <f t="shared" si="63"/>
        <v>Fuerte</v>
      </c>
      <c r="AJ121" s="211" t="str">
        <f>IFERROR(VLOOKUP((CONCATENATE(AG121,AI121)),Listados!$U$3:$V$11,2,FALSE),"")</f>
        <v>Fuerte</v>
      </c>
      <c r="AK121" s="270">
        <f t="shared" si="64"/>
        <v>100</v>
      </c>
      <c r="AL121" s="446">
        <f>AVERAGE(AK121:AK126)</f>
        <v>100</v>
      </c>
      <c r="AM121" s="448" t="str">
        <f>IF(AL121&lt;=50, "Débil", IF(AL121&lt;=99,"Moderado","Fuerte"))</f>
        <v>Fuerte</v>
      </c>
      <c r="AN121" s="269">
        <f>+IF(AND(Q121="Preventivo",AM121="Fuerte"),2,IF(AND(Q121="Preventivo",AM121="Moderado"),1,0))</f>
        <v>0</v>
      </c>
      <c r="AO121" s="269">
        <f t="shared" si="65"/>
        <v>0</v>
      </c>
      <c r="AP121" s="212">
        <f>+K121-AN121</f>
        <v>1</v>
      </c>
      <c r="AQ121" s="212">
        <f>+M121-AO121</f>
        <v>4</v>
      </c>
      <c r="AR121" s="435" t="str">
        <f>+VLOOKUP(MIN(AP121,AP122,AP123,AP124,AP125,AP126),Listados!$J$18:$K$24,2,TRUE)</f>
        <v>Rara Vez</v>
      </c>
      <c r="AS121" s="435" t="str">
        <f>+VLOOKUP(MIN(AQ121,AQ122,AQ123,AQ124,AQ125,AQ126),Listados!$J$27:$K$32,2,TRUE)</f>
        <v>Mayor</v>
      </c>
      <c r="AT121" s="435" t="str">
        <f>IF(AND(AR121&lt;&gt;"",AS121&lt;&gt;""),VLOOKUP(AR121&amp;AS121,Listados!$M$3:$N$27,2,FALSE),"")</f>
        <v>Alto</v>
      </c>
      <c r="AU121" s="435" t="str">
        <f>+VLOOKUP(AT121,Listados!$P$3:$Q$6,2,FALSE)</f>
        <v>Reducir el riesgo</v>
      </c>
      <c r="AV121" s="585" t="s">
        <v>1151</v>
      </c>
      <c r="AW121" s="585" t="s">
        <v>1148</v>
      </c>
      <c r="AX121" s="586">
        <v>44927</v>
      </c>
      <c r="AY121" s="586">
        <v>45291</v>
      </c>
      <c r="AZ121" s="585" t="s">
        <v>1149</v>
      </c>
      <c r="BA121" s="585" t="s">
        <v>1150</v>
      </c>
      <c r="BB121" s="589" t="s">
        <v>1491</v>
      </c>
      <c r="BC121" s="585" t="s">
        <v>1687</v>
      </c>
      <c r="BD121" s="585"/>
      <c r="BE121" s="592" t="s">
        <v>1553</v>
      </c>
      <c r="BF121" s="585" t="s">
        <v>1828</v>
      </c>
      <c r="BG121" s="585"/>
    </row>
    <row r="122" spans="1:59" ht="154">
      <c r="A122" s="437"/>
      <c r="B122" s="439"/>
      <c r="C122" s="500"/>
      <c r="D122" s="502"/>
      <c r="E122" s="149"/>
      <c r="F122" s="149"/>
      <c r="G122" s="149" t="s">
        <v>319</v>
      </c>
      <c r="H122" s="137" t="s">
        <v>16</v>
      </c>
      <c r="I122" s="137" t="s">
        <v>320</v>
      </c>
      <c r="J122" s="495"/>
      <c r="K122" s="467"/>
      <c r="L122" s="478"/>
      <c r="M122" s="467"/>
      <c r="N122" s="497"/>
      <c r="O122" s="151" t="s">
        <v>321</v>
      </c>
      <c r="P122" s="151" t="s">
        <v>316</v>
      </c>
      <c r="Q122" s="151" t="s">
        <v>123</v>
      </c>
      <c r="R122" s="207" t="s">
        <v>116</v>
      </c>
      <c r="S122" s="208">
        <f t="shared" si="54"/>
        <v>15</v>
      </c>
      <c r="T122" s="207" t="s">
        <v>257</v>
      </c>
      <c r="U122" s="208">
        <f t="shared" si="55"/>
        <v>15</v>
      </c>
      <c r="V122" s="207" t="s">
        <v>257</v>
      </c>
      <c r="W122" s="208">
        <f t="shared" si="56"/>
        <v>15</v>
      </c>
      <c r="X122" s="207" t="s">
        <v>20</v>
      </c>
      <c r="Y122" s="208">
        <f t="shared" si="57"/>
        <v>15</v>
      </c>
      <c r="Z122" s="207" t="s">
        <v>257</v>
      </c>
      <c r="AA122" s="208">
        <f t="shared" si="58"/>
        <v>15</v>
      </c>
      <c r="AB122" s="207" t="s">
        <v>257</v>
      </c>
      <c r="AC122" s="208">
        <f t="shared" si="59"/>
        <v>15</v>
      </c>
      <c r="AD122" s="207" t="s">
        <v>117</v>
      </c>
      <c r="AE122" s="208">
        <f t="shared" si="60"/>
        <v>10</v>
      </c>
      <c r="AF122" s="270">
        <f t="shared" si="61"/>
        <v>100</v>
      </c>
      <c r="AG122" s="270" t="str">
        <f t="shared" si="62"/>
        <v>Fuerte</v>
      </c>
      <c r="AH122" s="209" t="s">
        <v>118</v>
      </c>
      <c r="AI122" s="210" t="str">
        <f t="shared" si="63"/>
        <v>Fuerte</v>
      </c>
      <c r="AJ122" s="211" t="str">
        <f>IFERROR(VLOOKUP((CONCATENATE(AG122,AI122)),Listados!$U$3:$V$11,2,FALSE),"")</f>
        <v>Fuerte</v>
      </c>
      <c r="AK122" s="270">
        <f t="shared" si="64"/>
        <v>100</v>
      </c>
      <c r="AL122" s="447"/>
      <c r="AM122" s="449"/>
      <c r="AN122" s="269">
        <f>+IF(AND(Q122="Preventivo",AM121="Fuerte"),2,IF(AND(Q122="Preventivo",AM121="Moderado"),1,0))</f>
        <v>0</v>
      </c>
      <c r="AO122" s="269">
        <f t="shared" si="65"/>
        <v>0</v>
      </c>
      <c r="AP122" s="212">
        <f>+K121-AN122</f>
        <v>1</v>
      </c>
      <c r="AQ122" s="212">
        <f>+M121-AO122</f>
        <v>4</v>
      </c>
      <c r="AR122" s="433"/>
      <c r="AS122" s="433"/>
      <c r="AT122" s="433"/>
      <c r="AU122" s="433"/>
      <c r="AV122" s="562"/>
      <c r="AW122" s="562"/>
      <c r="AX122" s="587"/>
      <c r="AY122" s="587"/>
      <c r="AZ122" s="562"/>
      <c r="BA122" s="562"/>
      <c r="BB122" s="590"/>
      <c r="BC122" s="562"/>
      <c r="BD122" s="562"/>
      <c r="BE122" s="562"/>
      <c r="BF122" s="562"/>
      <c r="BG122" s="562"/>
    </row>
    <row r="123" spans="1:59" ht="126">
      <c r="A123" s="437"/>
      <c r="B123" s="439"/>
      <c r="C123" s="500"/>
      <c r="D123" s="502"/>
      <c r="E123" s="149"/>
      <c r="F123" s="149"/>
      <c r="G123" s="149" t="s">
        <v>322</v>
      </c>
      <c r="H123" s="137" t="s">
        <v>16</v>
      </c>
      <c r="I123" s="137" t="s">
        <v>323</v>
      </c>
      <c r="J123" s="495"/>
      <c r="K123" s="467"/>
      <c r="L123" s="478"/>
      <c r="M123" s="467"/>
      <c r="N123" s="497"/>
      <c r="O123" s="151" t="s">
        <v>318</v>
      </c>
      <c r="P123" s="151" t="s">
        <v>322</v>
      </c>
      <c r="Q123" s="151" t="s">
        <v>123</v>
      </c>
      <c r="R123" s="207" t="s">
        <v>116</v>
      </c>
      <c r="S123" s="208">
        <f t="shared" si="54"/>
        <v>15</v>
      </c>
      <c r="T123" s="207" t="s">
        <v>257</v>
      </c>
      <c r="U123" s="208">
        <f t="shared" si="55"/>
        <v>15</v>
      </c>
      <c r="V123" s="207" t="s">
        <v>257</v>
      </c>
      <c r="W123" s="208">
        <f t="shared" si="56"/>
        <v>15</v>
      </c>
      <c r="X123" s="207" t="s">
        <v>20</v>
      </c>
      <c r="Y123" s="208">
        <f t="shared" si="57"/>
        <v>15</v>
      </c>
      <c r="Z123" s="207" t="s">
        <v>257</v>
      </c>
      <c r="AA123" s="208">
        <f t="shared" si="58"/>
        <v>15</v>
      </c>
      <c r="AB123" s="207" t="s">
        <v>257</v>
      </c>
      <c r="AC123" s="208">
        <f t="shared" si="59"/>
        <v>15</v>
      </c>
      <c r="AD123" s="207" t="s">
        <v>117</v>
      </c>
      <c r="AE123" s="208">
        <f t="shared" si="60"/>
        <v>10</v>
      </c>
      <c r="AF123" s="270">
        <f t="shared" si="61"/>
        <v>100</v>
      </c>
      <c r="AG123" s="270" t="str">
        <f t="shared" si="62"/>
        <v>Fuerte</v>
      </c>
      <c r="AH123" s="209" t="s">
        <v>118</v>
      </c>
      <c r="AI123" s="210" t="str">
        <f t="shared" si="63"/>
        <v>Fuerte</v>
      </c>
      <c r="AJ123" s="211" t="str">
        <f>IFERROR(VLOOKUP((CONCATENATE(AG123,AI123)),Listados!$U$3:$V$11,2,FALSE),"")</f>
        <v>Fuerte</v>
      </c>
      <c r="AK123" s="270">
        <f t="shared" si="64"/>
        <v>100</v>
      </c>
      <c r="AL123" s="447"/>
      <c r="AM123" s="449"/>
      <c r="AN123" s="269">
        <f>+IF(AND(Q123="Preventivo",AM121="Fuerte"),2,IF(AND(Q123="Preventivo",AM121="Moderado"),1,0))</f>
        <v>0</v>
      </c>
      <c r="AO123" s="269">
        <f t="shared" si="65"/>
        <v>0</v>
      </c>
      <c r="AP123" s="212">
        <f>+K121-AN123</f>
        <v>1</v>
      </c>
      <c r="AQ123" s="212">
        <f>+M121-AO123</f>
        <v>4</v>
      </c>
      <c r="AR123" s="433"/>
      <c r="AS123" s="433"/>
      <c r="AT123" s="433"/>
      <c r="AU123" s="433"/>
      <c r="AV123" s="562"/>
      <c r="AW123" s="562"/>
      <c r="AX123" s="587"/>
      <c r="AY123" s="587"/>
      <c r="AZ123" s="562"/>
      <c r="BA123" s="562"/>
      <c r="BB123" s="590"/>
      <c r="BC123" s="562"/>
      <c r="BD123" s="562"/>
      <c r="BE123" s="562"/>
      <c r="BF123" s="562"/>
      <c r="BG123" s="562"/>
    </row>
    <row r="124" spans="1:59" ht="14.15" customHeight="1">
      <c r="A124" s="437"/>
      <c r="B124" s="439"/>
      <c r="C124" s="500"/>
      <c r="D124" s="502"/>
      <c r="E124" s="149"/>
      <c r="F124" s="149"/>
      <c r="G124" s="137"/>
      <c r="H124" s="137"/>
      <c r="I124" s="137"/>
      <c r="J124" s="495"/>
      <c r="K124" s="467"/>
      <c r="L124" s="478"/>
      <c r="M124" s="467"/>
      <c r="N124" s="497"/>
      <c r="O124" s="149"/>
      <c r="P124" s="137"/>
      <c r="Q124" s="137"/>
      <c r="R124" s="231"/>
      <c r="S124" s="208" t="str">
        <f t="shared" ref="S124:S186" si="90">+IF(R124="si",15,"")</f>
        <v/>
      </c>
      <c r="T124" s="231"/>
      <c r="U124" s="208" t="str">
        <f t="shared" ref="U124:U186" si="91">+IF(T124="si",15,"")</f>
        <v/>
      </c>
      <c r="V124" s="207"/>
      <c r="W124" s="208" t="str">
        <f t="shared" ref="W124:W186" si="92">+IF(V124="si",15,"")</f>
        <v/>
      </c>
      <c r="X124" s="207"/>
      <c r="Y124" s="208" t="str">
        <f t="shared" ref="Y124:Y186" si="93">+IF(X124="Preventivo",15,IF(X124="Detectivo",10,""))</f>
        <v/>
      </c>
      <c r="Z124" s="207"/>
      <c r="AA124" s="208" t="str">
        <f t="shared" ref="AA124:AA186" si="94">+IF(Z124="si",15,"")</f>
        <v/>
      </c>
      <c r="AB124" s="207"/>
      <c r="AC124" s="208" t="str">
        <f t="shared" ref="AC124:AC186" si="95">+IF(AB124="si",15,"")</f>
        <v/>
      </c>
      <c r="AD124" s="207"/>
      <c r="AE124" s="208" t="str">
        <f t="shared" ref="AE124:AE186" si="96">+IF(AD124="Completa",10,IF(AD124="Incompleta",5,""))</f>
        <v/>
      </c>
      <c r="AF124" s="270" t="str">
        <f t="shared" ref="AF124:AF186" si="97">IF((SUM(S124,U124,W124,Y124,AA124,AC124,AE124)=0),"",(SUM(S124,U124,W124,Y124,AA124,AC124,AE124)))</f>
        <v/>
      </c>
      <c r="AG124" s="270" t="str">
        <f t="shared" ref="AG124:AG186" si="98">IF(AF124&lt;=85,"Débil",IF(AF124&lt;=95,"Moderado",IF(AF124=100,"Fuerte","")))</f>
        <v/>
      </c>
      <c r="AH124" s="209"/>
      <c r="AI124" s="210" t="str">
        <f t="shared" si="63"/>
        <v>Débil</v>
      </c>
      <c r="AJ124" s="211" t="str">
        <f>IFERROR(VLOOKUP((CONCATENATE(AG124,AI124)),Listados!$U$3:$V$11,2,FALSE),"")</f>
        <v/>
      </c>
      <c r="AK124" s="270">
        <f t="shared" si="64"/>
        <v>100</v>
      </c>
      <c r="AL124" s="447"/>
      <c r="AM124" s="449"/>
      <c r="AN124" s="269">
        <f>+IF(AND(Q124="Preventivo",AM121="Fuerte"),2,IF(AND(Q124="Preventivo",AM121="Moderado"),1,0))</f>
        <v>0</v>
      </c>
      <c r="AO124" s="269">
        <f t="shared" si="65"/>
        <v>0</v>
      </c>
      <c r="AP124" s="212">
        <f>+K121-AN124</f>
        <v>1</v>
      </c>
      <c r="AQ124" s="212">
        <f>+M121-AO124</f>
        <v>4</v>
      </c>
      <c r="AR124" s="433"/>
      <c r="AS124" s="433"/>
      <c r="AT124" s="433"/>
      <c r="AU124" s="433"/>
      <c r="AV124" s="562"/>
      <c r="AW124" s="562"/>
      <c r="AX124" s="587"/>
      <c r="AY124" s="587"/>
      <c r="AZ124" s="562"/>
      <c r="BA124" s="562"/>
      <c r="BB124" s="590"/>
      <c r="BC124" s="562"/>
      <c r="BD124" s="562"/>
      <c r="BE124" s="562"/>
      <c r="BF124" s="562"/>
      <c r="BG124" s="562"/>
    </row>
    <row r="125" spans="1:59" ht="14.15" customHeight="1">
      <c r="A125" s="437"/>
      <c r="B125" s="439"/>
      <c r="C125" s="500"/>
      <c r="D125" s="502"/>
      <c r="E125" s="149"/>
      <c r="F125" s="149"/>
      <c r="G125" s="137"/>
      <c r="H125" s="137"/>
      <c r="I125" s="137"/>
      <c r="J125" s="495"/>
      <c r="K125" s="467"/>
      <c r="L125" s="478"/>
      <c r="M125" s="467"/>
      <c r="N125" s="497"/>
      <c r="O125" s="149"/>
      <c r="P125" s="137"/>
      <c r="Q125" s="137"/>
      <c r="R125" s="231"/>
      <c r="S125" s="208" t="str">
        <f t="shared" si="90"/>
        <v/>
      </c>
      <c r="T125" s="231"/>
      <c r="U125" s="208" t="str">
        <f t="shared" si="91"/>
        <v/>
      </c>
      <c r="V125" s="207"/>
      <c r="W125" s="208" t="str">
        <f t="shared" si="92"/>
        <v/>
      </c>
      <c r="X125" s="207"/>
      <c r="Y125" s="208" t="str">
        <f t="shared" si="93"/>
        <v/>
      </c>
      <c r="Z125" s="207"/>
      <c r="AA125" s="208" t="str">
        <f t="shared" si="94"/>
        <v/>
      </c>
      <c r="AB125" s="207"/>
      <c r="AC125" s="208" t="str">
        <f t="shared" si="95"/>
        <v/>
      </c>
      <c r="AD125" s="207"/>
      <c r="AE125" s="208" t="str">
        <f t="shared" si="96"/>
        <v/>
      </c>
      <c r="AF125" s="270" t="str">
        <f t="shared" si="97"/>
        <v/>
      </c>
      <c r="AG125" s="270" t="str">
        <f t="shared" si="98"/>
        <v/>
      </c>
      <c r="AH125" s="209"/>
      <c r="AI125" s="210" t="str">
        <f t="shared" ref="AI125:AI186" si="99">+IF(AH125="siempre","Fuerte",IF(AH125="Algunas veces","Moderado","Débil"))</f>
        <v>Débil</v>
      </c>
      <c r="AJ125" s="211" t="str">
        <f>IFERROR(VLOOKUP((CONCATENATE(AG125,AI125)),Listados!$U$3:$V$11,2,FALSE),"")</f>
        <v/>
      </c>
      <c r="AK125" s="270">
        <f t="shared" ref="AK125:AK186" si="100">IF(ISBLANK(AJ125),"",IF(AJ125="Débil", 0, IF(AJ125="Moderado",50,100)))</f>
        <v>100</v>
      </c>
      <c r="AL125" s="447"/>
      <c r="AM125" s="449"/>
      <c r="AN125" s="269">
        <f>+IF(AND(Q125="Preventivo",AM121="Fuerte"),2,IF(AND(Q125="Preventivo",AM121="Moderado"),1,0))</f>
        <v>0</v>
      </c>
      <c r="AO125" s="269">
        <f t="shared" si="65"/>
        <v>0</v>
      </c>
      <c r="AP125" s="212">
        <f>+K121-AN125</f>
        <v>1</v>
      </c>
      <c r="AQ125" s="212">
        <f>+M121-AO125</f>
        <v>4</v>
      </c>
      <c r="AR125" s="433"/>
      <c r="AS125" s="433"/>
      <c r="AT125" s="433"/>
      <c r="AU125" s="433"/>
      <c r="AV125" s="562"/>
      <c r="AW125" s="562"/>
      <c r="AX125" s="587"/>
      <c r="AY125" s="587"/>
      <c r="AZ125" s="562"/>
      <c r="BA125" s="562"/>
      <c r="BB125" s="590"/>
      <c r="BC125" s="562"/>
      <c r="BD125" s="562"/>
      <c r="BE125" s="562"/>
      <c r="BF125" s="562"/>
      <c r="BG125" s="562"/>
    </row>
    <row r="126" spans="1:59" ht="14.5" customHeight="1" thickBot="1">
      <c r="A126" s="438"/>
      <c r="B126" s="439"/>
      <c r="C126" s="500"/>
      <c r="D126" s="502"/>
      <c r="E126" s="149"/>
      <c r="F126" s="149"/>
      <c r="G126" s="137"/>
      <c r="H126" s="137"/>
      <c r="I126" s="137"/>
      <c r="J126" s="495"/>
      <c r="K126" s="468"/>
      <c r="L126" s="478"/>
      <c r="M126" s="468"/>
      <c r="N126" s="497"/>
      <c r="O126" s="149"/>
      <c r="P126" s="137"/>
      <c r="Q126" s="137"/>
      <c r="R126" s="231"/>
      <c r="S126" s="208" t="str">
        <f t="shared" si="90"/>
        <v/>
      </c>
      <c r="T126" s="231"/>
      <c r="U126" s="208" t="str">
        <f t="shared" si="91"/>
        <v/>
      </c>
      <c r="V126" s="207"/>
      <c r="W126" s="208" t="str">
        <f t="shared" si="92"/>
        <v/>
      </c>
      <c r="X126" s="207"/>
      <c r="Y126" s="208" t="str">
        <f t="shared" si="93"/>
        <v/>
      </c>
      <c r="Z126" s="207"/>
      <c r="AA126" s="208" t="str">
        <f t="shared" si="94"/>
        <v/>
      </c>
      <c r="AB126" s="207"/>
      <c r="AC126" s="208" t="str">
        <f t="shared" si="95"/>
        <v/>
      </c>
      <c r="AD126" s="207"/>
      <c r="AE126" s="208" t="str">
        <f t="shared" si="96"/>
        <v/>
      </c>
      <c r="AF126" s="270" t="str">
        <f t="shared" si="97"/>
        <v/>
      </c>
      <c r="AG126" s="270" t="str">
        <f t="shared" si="98"/>
        <v/>
      </c>
      <c r="AH126" s="209"/>
      <c r="AI126" s="210" t="str">
        <f t="shared" si="99"/>
        <v>Débil</v>
      </c>
      <c r="AJ126" s="211" t="str">
        <f>IFERROR(VLOOKUP((CONCATENATE(AG126,AI126)),Listados!$U$3:$V$11,2,FALSE),"")</f>
        <v/>
      </c>
      <c r="AK126" s="270">
        <f t="shared" si="100"/>
        <v>100</v>
      </c>
      <c r="AL126" s="448"/>
      <c r="AM126" s="449"/>
      <c r="AN126" s="269">
        <f>+IF(AND(Q126="Preventivo",AM121="Fuerte"),2,IF(AND(Q126="Preventivo",AM121="Moderado"),1,0))</f>
        <v>0</v>
      </c>
      <c r="AO126" s="269">
        <f t="shared" si="65"/>
        <v>0</v>
      </c>
      <c r="AP126" s="212">
        <f>+K121-AN126</f>
        <v>1</v>
      </c>
      <c r="AQ126" s="212">
        <f>+M121-AO126</f>
        <v>4</v>
      </c>
      <c r="AR126" s="434"/>
      <c r="AS126" s="434"/>
      <c r="AT126" s="434"/>
      <c r="AU126" s="434"/>
      <c r="AV126" s="563"/>
      <c r="AW126" s="563"/>
      <c r="AX126" s="588"/>
      <c r="AY126" s="588"/>
      <c r="AZ126" s="563"/>
      <c r="BA126" s="563"/>
      <c r="BB126" s="591"/>
      <c r="BC126" s="563"/>
      <c r="BD126" s="563"/>
      <c r="BE126" s="563"/>
      <c r="BF126" s="563"/>
      <c r="BG126" s="563"/>
    </row>
    <row r="127" spans="1:59" ht="140">
      <c r="A127" s="436">
        <v>22</v>
      </c>
      <c r="B127" s="439" t="s">
        <v>95</v>
      </c>
      <c r="C127" s="500" t="str">
        <f>IFERROR(VLOOKUP(B127,Listados!B$3:C$20,2,FALSE),"")</f>
        <v>Apoyar a las diferentes dependencias de la Entidad y del Sector Justicia en el cumplimiento de su función administrativa, emitir conceptos jurídicos, defender y representar jurídicamente al Ministerio de Justicia y del Derecho</v>
      </c>
      <c r="D127" s="502" t="s">
        <v>1289</v>
      </c>
      <c r="E127" s="149" t="s">
        <v>52</v>
      </c>
      <c r="F127" s="149" t="s">
        <v>189</v>
      </c>
      <c r="G127" s="137" t="s">
        <v>324</v>
      </c>
      <c r="H127" s="137" t="s">
        <v>16</v>
      </c>
      <c r="I127" s="137" t="s">
        <v>325</v>
      </c>
      <c r="J127" s="495" t="s">
        <v>21</v>
      </c>
      <c r="K127" s="466">
        <f>+VLOOKUP(J127,Listados!$K$8:$L$12,2,0)</f>
        <v>1</v>
      </c>
      <c r="L127" s="477" t="s">
        <v>32</v>
      </c>
      <c r="M127" s="466">
        <f>+VLOOKUP(L127,Listados!$K$13:$L$17,2,0)</f>
        <v>2</v>
      </c>
      <c r="N127" s="496" t="str">
        <f>IF(AND(J127&lt;&gt;"",L127&lt;&gt;""),VLOOKUP(J127&amp;L127,Listados!$M$3:$N$27,2,FALSE),"")</f>
        <v>Bajo</v>
      </c>
      <c r="O127" s="151" t="s">
        <v>326</v>
      </c>
      <c r="P127" s="151" t="s">
        <v>324</v>
      </c>
      <c r="Q127" s="151" t="s">
        <v>20</v>
      </c>
      <c r="R127" s="207" t="s">
        <v>116</v>
      </c>
      <c r="S127" s="208">
        <f t="shared" si="90"/>
        <v>15</v>
      </c>
      <c r="T127" s="207" t="s">
        <v>257</v>
      </c>
      <c r="U127" s="208">
        <f t="shared" si="91"/>
        <v>15</v>
      </c>
      <c r="V127" s="207" t="s">
        <v>257</v>
      </c>
      <c r="W127" s="208">
        <f t="shared" si="92"/>
        <v>15</v>
      </c>
      <c r="X127" s="207" t="s">
        <v>20</v>
      </c>
      <c r="Y127" s="208">
        <f t="shared" si="93"/>
        <v>15</v>
      </c>
      <c r="Z127" s="207" t="s">
        <v>257</v>
      </c>
      <c r="AA127" s="208">
        <f t="shared" si="94"/>
        <v>15</v>
      </c>
      <c r="AB127" s="207" t="s">
        <v>257</v>
      </c>
      <c r="AC127" s="208">
        <f t="shared" si="95"/>
        <v>15</v>
      </c>
      <c r="AD127" s="207" t="s">
        <v>117</v>
      </c>
      <c r="AE127" s="208">
        <f t="shared" si="96"/>
        <v>10</v>
      </c>
      <c r="AF127" s="270">
        <f t="shared" si="97"/>
        <v>100</v>
      </c>
      <c r="AG127" s="270" t="str">
        <f t="shared" si="98"/>
        <v>Fuerte</v>
      </c>
      <c r="AH127" s="209" t="s">
        <v>118</v>
      </c>
      <c r="AI127" s="210" t="str">
        <f t="shared" si="99"/>
        <v>Fuerte</v>
      </c>
      <c r="AJ127" s="211" t="str">
        <f>IFERROR(VLOOKUP((CONCATENATE(AG127,AI127)),Listados!$U$3:$V$11,2,FALSE),"")</f>
        <v>Fuerte</v>
      </c>
      <c r="AK127" s="270">
        <f t="shared" si="100"/>
        <v>100</v>
      </c>
      <c r="AL127" s="446">
        <f>AVERAGE(AK127:AK132)</f>
        <v>100</v>
      </c>
      <c r="AM127" s="448" t="str">
        <f>IF(AL127&lt;=50, "Débil", IF(AL127&lt;=99,"Moderado","Fuerte"))</f>
        <v>Fuerte</v>
      </c>
      <c r="AN127" s="269">
        <f>+IF(AND(Q127="Preventivo",AM127="Fuerte"),2,IF(AND(Q127="Preventivo",AM127="Moderado"),1,0))</f>
        <v>2</v>
      </c>
      <c r="AO127" s="269">
        <f t="shared" si="65"/>
        <v>0</v>
      </c>
      <c r="AP127" s="212">
        <f>+K127-AN127</f>
        <v>-1</v>
      </c>
      <c r="AQ127" s="212">
        <f>+M127-AO127</f>
        <v>2</v>
      </c>
      <c r="AR127" s="435" t="str">
        <f>+VLOOKUP(MIN(AP127,AP128,AP129,AP130,AP131,AP132),Listados!$J$18:$K$24,2,TRUE)</f>
        <v>Rara Vez</v>
      </c>
      <c r="AS127" s="435" t="str">
        <f>+VLOOKUP(MIN(AQ127,AQ128,AQ129,AQ130,AQ131,AQ132),Listados!$J$27:$K$32,2,TRUE)</f>
        <v>Menor</v>
      </c>
      <c r="AT127" s="435" t="str">
        <f>IF(AND(AR127&lt;&gt;"",AS127&lt;&gt;""),VLOOKUP(AR127&amp;AS127,Listados!$M$3:$N$27,2,FALSE),"")</f>
        <v>Bajo</v>
      </c>
      <c r="AU127" s="435" t="str">
        <f>+VLOOKUP(AT127,Listados!$P$3:$Q$6,2,FALSE)</f>
        <v>Asumir el riesgo</v>
      </c>
      <c r="AV127" s="585" t="s">
        <v>1152</v>
      </c>
      <c r="AW127" s="585" t="s">
        <v>1148</v>
      </c>
      <c r="AX127" s="586">
        <v>44927</v>
      </c>
      <c r="AY127" s="586">
        <v>45291</v>
      </c>
      <c r="AZ127" s="585" t="s">
        <v>1149</v>
      </c>
      <c r="BA127" s="585" t="s">
        <v>1150</v>
      </c>
      <c r="BB127" s="589" t="s">
        <v>1492</v>
      </c>
      <c r="BC127" s="585" t="s">
        <v>1688</v>
      </c>
      <c r="BD127" s="585"/>
      <c r="BE127" s="592" t="s">
        <v>1521</v>
      </c>
      <c r="BF127" s="585" t="s">
        <v>1829</v>
      </c>
      <c r="BG127" s="585"/>
    </row>
    <row r="128" spans="1:59" ht="140">
      <c r="A128" s="437"/>
      <c r="B128" s="439"/>
      <c r="C128" s="500"/>
      <c r="D128" s="502"/>
      <c r="E128" s="149"/>
      <c r="F128" s="149"/>
      <c r="G128" s="137" t="s">
        <v>327</v>
      </c>
      <c r="H128" s="137" t="s">
        <v>16</v>
      </c>
      <c r="I128" s="137" t="s">
        <v>328</v>
      </c>
      <c r="J128" s="495"/>
      <c r="K128" s="467"/>
      <c r="L128" s="478"/>
      <c r="M128" s="467"/>
      <c r="N128" s="497"/>
      <c r="O128" s="151" t="s">
        <v>329</v>
      </c>
      <c r="P128" s="151" t="s">
        <v>327</v>
      </c>
      <c r="Q128" s="151" t="s">
        <v>20</v>
      </c>
      <c r="R128" s="207" t="s">
        <v>116</v>
      </c>
      <c r="S128" s="208">
        <f t="shared" si="90"/>
        <v>15</v>
      </c>
      <c r="T128" s="207" t="s">
        <v>257</v>
      </c>
      <c r="U128" s="208">
        <f t="shared" si="91"/>
        <v>15</v>
      </c>
      <c r="V128" s="207" t="s">
        <v>257</v>
      </c>
      <c r="W128" s="208">
        <f t="shared" si="92"/>
        <v>15</v>
      </c>
      <c r="X128" s="207" t="s">
        <v>20</v>
      </c>
      <c r="Y128" s="208">
        <f t="shared" si="93"/>
        <v>15</v>
      </c>
      <c r="Z128" s="207" t="s">
        <v>257</v>
      </c>
      <c r="AA128" s="208">
        <f t="shared" si="94"/>
        <v>15</v>
      </c>
      <c r="AB128" s="207" t="s">
        <v>257</v>
      </c>
      <c r="AC128" s="208">
        <f t="shared" si="95"/>
        <v>15</v>
      </c>
      <c r="AD128" s="207" t="s">
        <v>117</v>
      </c>
      <c r="AE128" s="208">
        <f t="shared" si="96"/>
        <v>10</v>
      </c>
      <c r="AF128" s="270">
        <f t="shared" si="97"/>
        <v>100</v>
      </c>
      <c r="AG128" s="270" t="str">
        <f t="shared" si="98"/>
        <v>Fuerte</v>
      </c>
      <c r="AH128" s="209" t="s">
        <v>118</v>
      </c>
      <c r="AI128" s="210" t="str">
        <f t="shared" si="99"/>
        <v>Fuerte</v>
      </c>
      <c r="AJ128" s="211" t="str">
        <f>IFERROR(VLOOKUP((CONCATENATE(AG128,AI128)),Listados!$U$3:$V$11,2,FALSE),"")</f>
        <v>Fuerte</v>
      </c>
      <c r="AK128" s="270">
        <f t="shared" si="100"/>
        <v>100</v>
      </c>
      <c r="AL128" s="447"/>
      <c r="AM128" s="449"/>
      <c r="AN128" s="269">
        <f>+IF(AND(Q128="Preventivo",AM127="Fuerte"),2,IF(AND(Q128="Preventivo",AM127="Moderado"),1,0))</f>
        <v>2</v>
      </c>
      <c r="AO128" s="269">
        <f t="shared" si="65"/>
        <v>0</v>
      </c>
      <c r="AP128" s="212">
        <f>+K127-AN128</f>
        <v>-1</v>
      </c>
      <c r="AQ128" s="212">
        <f>+M127-AO128</f>
        <v>2</v>
      </c>
      <c r="AR128" s="433"/>
      <c r="AS128" s="433"/>
      <c r="AT128" s="433"/>
      <c r="AU128" s="433"/>
      <c r="AV128" s="562"/>
      <c r="AW128" s="562"/>
      <c r="AX128" s="587"/>
      <c r="AY128" s="587"/>
      <c r="AZ128" s="562"/>
      <c r="BA128" s="562"/>
      <c r="BB128" s="590"/>
      <c r="BC128" s="562"/>
      <c r="BD128" s="562"/>
      <c r="BE128" s="562"/>
      <c r="BF128" s="562"/>
      <c r="BG128" s="562"/>
    </row>
    <row r="129" spans="1:59" ht="126">
      <c r="A129" s="437"/>
      <c r="B129" s="439"/>
      <c r="C129" s="500"/>
      <c r="D129" s="502"/>
      <c r="E129" s="149"/>
      <c r="F129" s="149"/>
      <c r="G129" s="137" t="s">
        <v>330</v>
      </c>
      <c r="H129" s="137" t="s">
        <v>30</v>
      </c>
      <c r="I129" s="137" t="s">
        <v>331</v>
      </c>
      <c r="J129" s="495"/>
      <c r="K129" s="467"/>
      <c r="L129" s="478"/>
      <c r="M129" s="467"/>
      <c r="N129" s="497"/>
      <c r="O129" s="151" t="s">
        <v>332</v>
      </c>
      <c r="P129" s="151" t="s">
        <v>330</v>
      </c>
      <c r="Q129" s="151" t="s">
        <v>123</v>
      </c>
      <c r="R129" s="207" t="s">
        <v>116</v>
      </c>
      <c r="S129" s="208">
        <f t="shared" si="90"/>
        <v>15</v>
      </c>
      <c r="T129" s="207" t="s">
        <v>257</v>
      </c>
      <c r="U129" s="208">
        <f t="shared" si="91"/>
        <v>15</v>
      </c>
      <c r="V129" s="207" t="s">
        <v>257</v>
      </c>
      <c r="W129" s="208">
        <f t="shared" si="92"/>
        <v>15</v>
      </c>
      <c r="X129" s="207" t="s">
        <v>20</v>
      </c>
      <c r="Y129" s="208">
        <f t="shared" si="93"/>
        <v>15</v>
      </c>
      <c r="Z129" s="207" t="s">
        <v>257</v>
      </c>
      <c r="AA129" s="208">
        <f t="shared" si="94"/>
        <v>15</v>
      </c>
      <c r="AB129" s="207" t="s">
        <v>257</v>
      </c>
      <c r="AC129" s="208">
        <f t="shared" si="95"/>
        <v>15</v>
      </c>
      <c r="AD129" s="207" t="s">
        <v>117</v>
      </c>
      <c r="AE129" s="208">
        <f t="shared" si="96"/>
        <v>10</v>
      </c>
      <c r="AF129" s="270">
        <f t="shared" si="97"/>
        <v>100</v>
      </c>
      <c r="AG129" s="270" t="str">
        <f t="shared" si="98"/>
        <v>Fuerte</v>
      </c>
      <c r="AH129" s="209" t="s">
        <v>118</v>
      </c>
      <c r="AI129" s="210" t="str">
        <f t="shared" si="99"/>
        <v>Fuerte</v>
      </c>
      <c r="AJ129" s="211" t="str">
        <f>IFERROR(VLOOKUP((CONCATENATE(AG129,AI129)),Listados!$U$3:$V$11,2,FALSE),"")</f>
        <v>Fuerte</v>
      </c>
      <c r="AK129" s="270">
        <f t="shared" si="100"/>
        <v>100</v>
      </c>
      <c r="AL129" s="447"/>
      <c r="AM129" s="449"/>
      <c r="AN129" s="269">
        <f>+IF(AND(Q129="Preventivo",AM127="Fuerte"),2,IF(AND(Q129="Preventivo",AM127="Moderado"),1,0))</f>
        <v>0</v>
      </c>
      <c r="AO129" s="269">
        <f t="shared" si="65"/>
        <v>0</v>
      </c>
      <c r="AP129" s="212">
        <f>+K127-AN129</f>
        <v>1</v>
      </c>
      <c r="AQ129" s="212">
        <f>+M127-AO129</f>
        <v>2</v>
      </c>
      <c r="AR129" s="433"/>
      <c r="AS129" s="433"/>
      <c r="AT129" s="433"/>
      <c r="AU129" s="433"/>
      <c r="AV129" s="562"/>
      <c r="AW129" s="562"/>
      <c r="AX129" s="587"/>
      <c r="AY129" s="587"/>
      <c r="AZ129" s="562"/>
      <c r="BA129" s="562"/>
      <c r="BB129" s="590"/>
      <c r="BC129" s="562"/>
      <c r="BD129" s="562"/>
      <c r="BE129" s="562"/>
      <c r="BF129" s="562"/>
      <c r="BG129" s="562"/>
    </row>
    <row r="130" spans="1:59" ht="140">
      <c r="A130" s="437"/>
      <c r="B130" s="439"/>
      <c r="C130" s="500"/>
      <c r="D130" s="502"/>
      <c r="E130" s="149"/>
      <c r="F130" s="149"/>
      <c r="G130" s="137" t="s">
        <v>333</v>
      </c>
      <c r="H130" s="137" t="s">
        <v>16</v>
      </c>
      <c r="I130" s="137"/>
      <c r="J130" s="495"/>
      <c r="K130" s="467"/>
      <c r="L130" s="478"/>
      <c r="M130" s="467"/>
      <c r="N130" s="497"/>
      <c r="O130" s="151" t="s">
        <v>329</v>
      </c>
      <c r="P130" s="151" t="s">
        <v>333</v>
      </c>
      <c r="Q130" s="151" t="s">
        <v>20</v>
      </c>
      <c r="R130" s="207" t="s">
        <v>116</v>
      </c>
      <c r="S130" s="208">
        <f t="shared" si="90"/>
        <v>15</v>
      </c>
      <c r="T130" s="207" t="s">
        <v>257</v>
      </c>
      <c r="U130" s="208">
        <f t="shared" si="91"/>
        <v>15</v>
      </c>
      <c r="V130" s="207" t="s">
        <v>257</v>
      </c>
      <c r="W130" s="208">
        <f t="shared" si="92"/>
        <v>15</v>
      </c>
      <c r="X130" s="207" t="s">
        <v>20</v>
      </c>
      <c r="Y130" s="208">
        <f t="shared" si="93"/>
        <v>15</v>
      </c>
      <c r="Z130" s="207" t="s">
        <v>257</v>
      </c>
      <c r="AA130" s="208">
        <f t="shared" si="94"/>
        <v>15</v>
      </c>
      <c r="AB130" s="207" t="s">
        <v>257</v>
      </c>
      <c r="AC130" s="208">
        <f t="shared" si="95"/>
        <v>15</v>
      </c>
      <c r="AD130" s="207" t="s">
        <v>117</v>
      </c>
      <c r="AE130" s="208">
        <f t="shared" si="96"/>
        <v>10</v>
      </c>
      <c r="AF130" s="270">
        <f t="shared" si="97"/>
        <v>100</v>
      </c>
      <c r="AG130" s="270" t="str">
        <f t="shared" si="98"/>
        <v>Fuerte</v>
      </c>
      <c r="AH130" s="209" t="s">
        <v>118</v>
      </c>
      <c r="AI130" s="210" t="str">
        <f t="shared" si="99"/>
        <v>Fuerte</v>
      </c>
      <c r="AJ130" s="211" t="str">
        <f>IFERROR(VLOOKUP((CONCATENATE(AG130,AI130)),Listados!$U$3:$V$11,2,FALSE),"")</f>
        <v>Fuerte</v>
      </c>
      <c r="AK130" s="270">
        <f t="shared" si="100"/>
        <v>100</v>
      </c>
      <c r="AL130" s="447"/>
      <c r="AM130" s="449"/>
      <c r="AN130" s="269">
        <f>+IF(AND(Q130="Preventivo",AM127="Fuerte"),2,IF(AND(Q130="Preventivo",AM127="Moderado"),1,0))</f>
        <v>2</v>
      </c>
      <c r="AO130" s="269">
        <f t="shared" ref="AO130:AO186" si="101">+IF(AND(Q130="Detectivo",$AM$7="Fuerte"),2,IF(AND(Q130="Detectivo",$AM$7="Moderado"),1,IF(AND(Q130="Preventivo",$AM$7="Fuerte"),1,0)))</f>
        <v>0</v>
      </c>
      <c r="AP130" s="212">
        <f>+K127-AN130</f>
        <v>-1</v>
      </c>
      <c r="AQ130" s="212">
        <f>+M127-AO130</f>
        <v>2</v>
      </c>
      <c r="AR130" s="433"/>
      <c r="AS130" s="433"/>
      <c r="AT130" s="433"/>
      <c r="AU130" s="433"/>
      <c r="AV130" s="562"/>
      <c r="AW130" s="562"/>
      <c r="AX130" s="587"/>
      <c r="AY130" s="587"/>
      <c r="AZ130" s="562"/>
      <c r="BA130" s="562"/>
      <c r="BB130" s="590"/>
      <c r="BC130" s="562"/>
      <c r="BD130" s="562"/>
      <c r="BE130" s="562"/>
      <c r="BF130" s="562"/>
      <c r="BG130" s="562"/>
    </row>
    <row r="131" spans="1:59" ht="14.15" customHeight="1">
      <c r="A131" s="437"/>
      <c r="B131" s="439"/>
      <c r="C131" s="500"/>
      <c r="D131" s="502"/>
      <c r="E131" s="149"/>
      <c r="F131" s="149"/>
      <c r="G131" s="137"/>
      <c r="H131" s="137"/>
      <c r="I131" s="137"/>
      <c r="J131" s="495"/>
      <c r="K131" s="467"/>
      <c r="L131" s="478"/>
      <c r="M131" s="467"/>
      <c r="N131" s="497"/>
      <c r="O131" s="149"/>
      <c r="P131" s="137"/>
      <c r="Q131" s="137"/>
      <c r="R131" s="231"/>
      <c r="S131" s="208" t="str">
        <f t="shared" si="90"/>
        <v/>
      </c>
      <c r="T131" s="231"/>
      <c r="U131" s="208" t="str">
        <f t="shared" si="91"/>
        <v/>
      </c>
      <c r="V131" s="207"/>
      <c r="W131" s="208" t="str">
        <f t="shared" si="92"/>
        <v/>
      </c>
      <c r="X131" s="207"/>
      <c r="Y131" s="208" t="str">
        <f t="shared" si="93"/>
        <v/>
      </c>
      <c r="Z131" s="207"/>
      <c r="AA131" s="208" t="str">
        <f t="shared" si="94"/>
        <v/>
      </c>
      <c r="AB131" s="207"/>
      <c r="AC131" s="208" t="str">
        <f t="shared" si="95"/>
        <v/>
      </c>
      <c r="AD131" s="207"/>
      <c r="AE131" s="208" t="str">
        <f t="shared" si="96"/>
        <v/>
      </c>
      <c r="AF131" s="270" t="str">
        <f t="shared" si="97"/>
        <v/>
      </c>
      <c r="AG131" s="270" t="str">
        <f t="shared" si="98"/>
        <v/>
      </c>
      <c r="AH131" s="209"/>
      <c r="AI131" s="210" t="str">
        <f t="shared" si="99"/>
        <v>Débil</v>
      </c>
      <c r="AJ131" s="211" t="str">
        <f>IFERROR(VLOOKUP((CONCATENATE(AG131,AI131)),Listados!$U$3:$V$11,2,FALSE),"")</f>
        <v/>
      </c>
      <c r="AK131" s="270">
        <f t="shared" si="100"/>
        <v>100</v>
      </c>
      <c r="AL131" s="447"/>
      <c r="AM131" s="449"/>
      <c r="AN131" s="269">
        <f>+IF(AND(Q131="Preventivo",AM127="Fuerte"),2,IF(AND(Q131="Preventivo",AM127="Moderado"),1,0))</f>
        <v>0</v>
      </c>
      <c r="AO131" s="269">
        <f t="shared" si="101"/>
        <v>0</v>
      </c>
      <c r="AP131" s="212">
        <f>+K127-AN131</f>
        <v>1</v>
      </c>
      <c r="AQ131" s="212">
        <f>+M127-AO131</f>
        <v>2</v>
      </c>
      <c r="AR131" s="433"/>
      <c r="AS131" s="433"/>
      <c r="AT131" s="433"/>
      <c r="AU131" s="433"/>
      <c r="AV131" s="562"/>
      <c r="AW131" s="562"/>
      <c r="AX131" s="587"/>
      <c r="AY131" s="587"/>
      <c r="AZ131" s="562"/>
      <c r="BA131" s="562"/>
      <c r="BB131" s="590"/>
      <c r="BC131" s="562"/>
      <c r="BD131" s="562"/>
      <c r="BE131" s="562"/>
      <c r="BF131" s="562"/>
      <c r="BG131" s="562"/>
    </row>
    <row r="132" spans="1:59" ht="14.5" customHeight="1" thickBot="1">
      <c r="A132" s="438"/>
      <c r="B132" s="439"/>
      <c r="C132" s="500"/>
      <c r="D132" s="502"/>
      <c r="E132" s="149"/>
      <c r="F132" s="149"/>
      <c r="G132" s="137"/>
      <c r="H132" s="137"/>
      <c r="I132" s="137"/>
      <c r="J132" s="495"/>
      <c r="K132" s="468"/>
      <c r="L132" s="478"/>
      <c r="M132" s="468"/>
      <c r="N132" s="497"/>
      <c r="O132" s="149"/>
      <c r="P132" s="137"/>
      <c r="Q132" s="137"/>
      <c r="R132" s="231"/>
      <c r="S132" s="208" t="str">
        <f t="shared" si="90"/>
        <v/>
      </c>
      <c r="T132" s="231"/>
      <c r="U132" s="208" t="str">
        <f t="shared" si="91"/>
        <v/>
      </c>
      <c r="V132" s="207"/>
      <c r="W132" s="208" t="str">
        <f t="shared" si="92"/>
        <v/>
      </c>
      <c r="X132" s="207"/>
      <c r="Y132" s="208" t="str">
        <f t="shared" si="93"/>
        <v/>
      </c>
      <c r="Z132" s="207"/>
      <c r="AA132" s="208" t="str">
        <f t="shared" si="94"/>
        <v/>
      </c>
      <c r="AB132" s="207"/>
      <c r="AC132" s="208" t="str">
        <f t="shared" si="95"/>
        <v/>
      </c>
      <c r="AD132" s="207"/>
      <c r="AE132" s="208" t="str">
        <f t="shared" si="96"/>
        <v/>
      </c>
      <c r="AF132" s="270" t="str">
        <f t="shared" si="97"/>
        <v/>
      </c>
      <c r="AG132" s="270" t="str">
        <f t="shared" si="98"/>
        <v/>
      </c>
      <c r="AH132" s="209"/>
      <c r="AI132" s="210" t="str">
        <f t="shared" si="99"/>
        <v>Débil</v>
      </c>
      <c r="AJ132" s="211" t="str">
        <f>IFERROR(VLOOKUP((CONCATENATE(AG132,AI132)),Listados!$U$3:$V$11,2,FALSE),"")</f>
        <v/>
      </c>
      <c r="AK132" s="270">
        <f t="shared" si="100"/>
        <v>100</v>
      </c>
      <c r="AL132" s="448"/>
      <c r="AM132" s="449"/>
      <c r="AN132" s="269">
        <f>+IF(AND(Q132="Preventivo",AM127="Fuerte"),2,IF(AND(Q132="Preventivo",AM127="Moderado"),1,0))</f>
        <v>0</v>
      </c>
      <c r="AO132" s="269">
        <f t="shared" si="101"/>
        <v>0</v>
      </c>
      <c r="AP132" s="212">
        <f>+K127-AN132</f>
        <v>1</v>
      </c>
      <c r="AQ132" s="212">
        <f>+M127-AO132</f>
        <v>2</v>
      </c>
      <c r="AR132" s="434"/>
      <c r="AS132" s="434"/>
      <c r="AT132" s="434"/>
      <c r="AU132" s="434"/>
      <c r="AV132" s="563"/>
      <c r="AW132" s="563"/>
      <c r="AX132" s="588"/>
      <c r="AY132" s="588"/>
      <c r="AZ132" s="563"/>
      <c r="BA132" s="563"/>
      <c r="BB132" s="591"/>
      <c r="BC132" s="563"/>
      <c r="BD132" s="563"/>
      <c r="BE132" s="563"/>
      <c r="BF132" s="563"/>
      <c r="BG132" s="563"/>
    </row>
    <row r="133" spans="1:59" ht="112">
      <c r="A133" s="436">
        <v>23</v>
      </c>
      <c r="B133" s="439" t="s">
        <v>95</v>
      </c>
      <c r="C133" s="500" t="str">
        <f>IFERROR(VLOOKUP(B133,Listados!B$3:C$20,2,FALSE),"")</f>
        <v>Apoyar a las diferentes dependencias de la Entidad y del Sector Justicia en el cumplimiento de su función administrativa, emitir conceptos jurídicos, defender y representar jurídicamente al Ministerio de Justicia y del Derecho</v>
      </c>
      <c r="D133" s="502" t="s">
        <v>1290</v>
      </c>
      <c r="E133" s="149" t="s">
        <v>52</v>
      </c>
      <c r="F133" s="149" t="s">
        <v>189</v>
      </c>
      <c r="G133" s="137" t="s">
        <v>334</v>
      </c>
      <c r="H133" s="137" t="s">
        <v>16</v>
      </c>
      <c r="I133" s="137" t="s">
        <v>335</v>
      </c>
      <c r="J133" s="495" t="s">
        <v>44</v>
      </c>
      <c r="K133" s="466">
        <f>+VLOOKUP(J133,Listados!$K$8:$L$12,2,0)</f>
        <v>3</v>
      </c>
      <c r="L133" s="477" t="s">
        <v>32</v>
      </c>
      <c r="M133" s="466">
        <f>+VLOOKUP(L133,Listados!$K$13:$L$17,2,0)</f>
        <v>2</v>
      </c>
      <c r="N133" s="496" t="str">
        <f>IF(AND(J133&lt;&gt;"",L133&lt;&gt;""),VLOOKUP(J133&amp;L133,Listados!$M$3:$N$27,2,FALSE),"")</f>
        <v>Moderado</v>
      </c>
      <c r="O133" s="151" t="s">
        <v>336</v>
      </c>
      <c r="P133" s="151" t="s">
        <v>334</v>
      </c>
      <c r="Q133" s="151" t="s">
        <v>20</v>
      </c>
      <c r="R133" s="207" t="s">
        <v>116</v>
      </c>
      <c r="S133" s="208">
        <f t="shared" si="90"/>
        <v>15</v>
      </c>
      <c r="T133" s="207" t="s">
        <v>257</v>
      </c>
      <c r="U133" s="208">
        <f t="shared" si="91"/>
        <v>15</v>
      </c>
      <c r="V133" s="207" t="s">
        <v>257</v>
      </c>
      <c r="W133" s="208">
        <f t="shared" si="92"/>
        <v>15</v>
      </c>
      <c r="X133" s="207" t="s">
        <v>20</v>
      </c>
      <c r="Y133" s="208">
        <f t="shared" si="93"/>
        <v>15</v>
      </c>
      <c r="Z133" s="207" t="s">
        <v>257</v>
      </c>
      <c r="AA133" s="208">
        <f t="shared" si="94"/>
        <v>15</v>
      </c>
      <c r="AB133" s="207" t="s">
        <v>257</v>
      </c>
      <c r="AC133" s="208">
        <f t="shared" si="95"/>
        <v>15</v>
      </c>
      <c r="AD133" s="207" t="s">
        <v>117</v>
      </c>
      <c r="AE133" s="208">
        <f t="shared" si="96"/>
        <v>10</v>
      </c>
      <c r="AF133" s="270">
        <f t="shared" si="97"/>
        <v>100</v>
      </c>
      <c r="AG133" s="270" t="str">
        <f t="shared" si="98"/>
        <v>Fuerte</v>
      </c>
      <c r="AH133" s="209" t="s">
        <v>118</v>
      </c>
      <c r="AI133" s="210" t="str">
        <f t="shared" si="99"/>
        <v>Fuerte</v>
      </c>
      <c r="AJ133" s="211" t="str">
        <f>IFERROR(VLOOKUP((CONCATENATE(AG133,AI133)),Listados!$U$3:$V$11,2,FALSE),"")</f>
        <v>Fuerte</v>
      </c>
      <c r="AK133" s="270">
        <f t="shared" si="100"/>
        <v>100</v>
      </c>
      <c r="AL133" s="446">
        <f>AVERAGE(AK133:AK138)</f>
        <v>100</v>
      </c>
      <c r="AM133" s="448" t="str">
        <f>IF(AL133&lt;=50, "Débil", IF(AL133&lt;=99,"Moderado","Fuerte"))</f>
        <v>Fuerte</v>
      </c>
      <c r="AN133" s="269">
        <f>+IF(AND(Q133="Preventivo",AM133="Fuerte"),2,IF(AND(Q133="Preventivo",AM133="Moderado"),1,0))</f>
        <v>2</v>
      </c>
      <c r="AO133" s="269">
        <f t="shared" si="101"/>
        <v>0</v>
      </c>
      <c r="AP133" s="212">
        <f>+K133-AN133</f>
        <v>1</v>
      </c>
      <c r="AQ133" s="212">
        <f>+M133-AO133</f>
        <v>2</v>
      </c>
      <c r="AR133" s="435" t="str">
        <f>+VLOOKUP(MIN(AP133,AP134,AP135,AP136,AP137,AP138),Listados!$J$18:$K$24,2,TRUE)</f>
        <v>Rara Vez</v>
      </c>
      <c r="AS133" s="435" t="str">
        <f>+VLOOKUP(MIN(AQ133,AQ134,AQ135,AQ136,AQ137,AQ138),Listados!$J$27:$K$32,2,TRUE)</f>
        <v>Menor</v>
      </c>
      <c r="AT133" s="435" t="str">
        <f>IF(AND(AR133&lt;&gt;"",AS133&lt;&gt;""),VLOOKUP(AR133&amp;AS133,Listados!$M$3:$N$27,2,FALSE),"")</f>
        <v>Bajo</v>
      </c>
      <c r="AU133" s="435" t="str">
        <f>+VLOOKUP(AT133,Listados!$P$3:$Q$6,2,FALSE)</f>
        <v>Asumir el riesgo</v>
      </c>
      <c r="AV133" s="585" t="s">
        <v>1153</v>
      </c>
      <c r="AW133" s="585" t="s">
        <v>1148</v>
      </c>
      <c r="AX133" s="586">
        <v>44927</v>
      </c>
      <c r="AY133" s="586">
        <v>45291</v>
      </c>
      <c r="AZ133" s="585" t="s">
        <v>1149</v>
      </c>
      <c r="BA133" s="585" t="s">
        <v>1154</v>
      </c>
      <c r="BB133" s="589" t="s">
        <v>1493</v>
      </c>
      <c r="BC133" s="585" t="s">
        <v>1493</v>
      </c>
      <c r="BD133" s="585"/>
      <c r="BE133" s="592" t="s">
        <v>1522</v>
      </c>
      <c r="BF133" s="585" t="s">
        <v>1830</v>
      </c>
      <c r="BG133" s="585"/>
    </row>
    <row r="134" spans="1:59" ht="112">
      <c r="A134" s="437"/>
      <c r="B134" s="439"/>
      <c r="C134" s="500"/>
      <c r="D134" s="502"/>
      <c r="E134" s="149"/>
      <c r="F134" s="149"/>
      <c r="G134" s="137" t="s">
        <v>337</v>
      </c>
      <c r="H134" s="137" t="s">
        <v>16</v>
      </c>
      <c r="I134" s="137" t="s">
        <v>338</v>
      </c>
      <c r="J134" s="495"/>
      <c r="K134" s="467"/>
      <c r="L134" s="478"/>
      <c r="M134" s="467"/>
      <c r="N134" s="497"/>
      <c r="O134" s="151" t="s">
        <v>336</v>
      </c>
      <c r="P134" s="151" t="s">
        <v>337</v>
      </c>
      <c r="Q134" s="151" t="s">
        <v>20</v>
      </c>
      <c r="R134" s="207" t="s">
        <v>116</v>
      </c>
      <c r="S134" s="208">
        <f t="shared" si="90"/>
        <v>15</v>
      </c>
      <c r="T134" s="207" t="s">
        <v>257</v>
      </c>
      <c r="U134" s="208">
        <f t="shared" si="91"/>
        <v>15</v>
      </c>
      <c r="V134" s="207" t="s">
        <v>257</v>
      </c>
      <c r="W134" s="208">
        <f t="shared" si="92"/>
        <v>15</v>
      </c>
      <c r="X134" s="207" t="s">
        <v>20</v>
      </c>
      <c r="Y134" s="208">
        <f t="shared" si="93"/>
        <v>15</v>
      </c>
      <c r="Z134" s="207" t="s">
        <v>257</v>
      </c>
      <c r="AA134" s="208">
        <f t="shared" si="94"/>
        <v>15</v>
      </c>
      <c r="AB134" s="207" t="s">
        <v>257</v>
      </c>
      <c r="AC134" s="208">
        <f t="shared" si="95"/>
        <v>15</v>
      </c>
      <c r="AD134" s="207" t="s">
        <v>117</v>
      </c>
      <c r="AE134" s="208">
        <f t="shared" si="96"/>
        <v>10</v>
      </c>
      <c r="AF134" s="270">
        <f t="shared" si="97"/>
        <v>100</v>
      </c>
      <c r="AG134" s="270" t="str">
        <f t="shared" si="98"/>
        <v>Fuerte</v>
      </c>
      <c r="AH134" s="209" t="s">
        <v>118</v>
      </c>
      <c r="AI134" s="210" t="str">
        <f t="shared" si="99"/>
        <v>Fuerte</v>
      </c>
      <c r="AJ134" s="211" t="str">
        <f>IFERROR(VLOOKUP((CONCATENATE(AG134,AI134)),Listados!$U$3:$V$11,2,FALSE),"")</f>
        <v>Fuerte</v>
      </c>
      <c r="AK134" s="270">
        <f t="shared" si="100"/>
        <v>100</v>
      </c>
      <c r="AL134" s="447"/>
      <c r="AM134" s="449"/>
      <c r="AN134" s="269">
        <f>+IF(AND(Q134="Preventivo",AM133="Fuerte"),2,IF(AND(Q134="Preventivo",AM133="Moderado"),1,0))</f>
        <v>2</v>
      </c>
      <c r="AO134" s="269">
        <f t="shared" si="101"/>
        <v>0</v>
      </c>
      <c r="AP134" s="212">
        <f>+K133-AN134</f>
        <v>1</v>
      </c>
      <c r="AQ134" s="212">
        <f>+M133-AO134</f>
        <v>2</v>
      </c>
      <c r="AR134" s="433"/>
      <c r="AS134" s="433"/>
      <c r="AT134" s="433"/>
      <c r="AU134" s="433"/>
      <c r="AV134" s="562"/>
      <c r="AW134" s="562"/>
      <c r="AX134" s="587"/>
      <c r="AY134" s="587"/>
      <c r="AZ134" s="562"/>
      <c r="BA134" s="562"/>
      <c r="BB134" s="590"/>
      <c r="BC134" s="562"/>
      <c r="BD134" s="562"/>
      <c r="BE134" s="562"/>
      <c r="BF134" s="562"/>
      <c r="BG134" s="562"/>
    </row>
    <row r="135" spans="1:59" ht="28">
      <c r="A135" s="437"/>
      <c r="B135" s="439"/>
      <c r="C135" s="500"/>
      <c r="D135" s="502"/>
      <c r="E135" s="149"/>
      <c r="F135" s="149"/>
      <c r="G135" s="137"/>
      <c r="H135" s="137"/>
      <c r="I135" s="137" t="s">
        <v>339</v>
      </c>
      <c r="J135" s="495"/>
      <c r="K135" s="467"/>
      <c r="L135" s="478"/>
      <c r="M135" s="467"/>
      <c r="N135" s="497"/>
      <c r="O135" s="154"/>
      <c r="P135" s="151"/>
      <c r="Q135" s="151"/>
      <c r="R135" s="231"/>
      <c r="S135" s="208" t="str">
        <f t="shared" si="90"/>
        <v/>
      </c>
      <c r="T135" s="231"/>
      <c r="U135" s="208" t="str">
        <f t="shared" si="91"/>
        <v/>
      </c>
      <c r="V135" s="207"/>
      <c r="W135" s="208" t="str">
        <f t="shared" si="92"/>
        <v/>
      </c>
      <c r="X135" s="207"/>
      <c r="Y135" s="208" t="str">
        <f t="shared" si="93"/>
        <v/>
      </c>
      <c r="Z135" s="207"/>
      <c r="AA135" s="208" t="str">
        <f t="shared" si="94"/>
        <v/>
      </c>
      <c r="AB135" s="207"/>
      <c r="AC135" s="208" t="str">
        <f t="shared" si="95"/>
        <v/>
      </c>
      <c r="AD135" s="207"/>
      <c r="AE135" s="208" t="str">
        <f t="shared" si="96"/>
        <v/>
      </c>
      <c r="AF135" s="270" t="str">
        <f t="shared" si="97"/>
        <v/>
      </c>
      <c r="AG135" s="270" t="str">
        <f t="shared" si="98"/>
        <v/>
      </c>
      <c r="AH135" s="209"/>
      <c r="AI135" s="210" t="str">
        <f t="shared" si="99"/>
        <v>Débil</v>
      </c>
      <c r="AJ135" s="211" t="str">
        <f>IFERROR(VLOOKUP((CONCATENATE(AG135,AI135)),Listados!$U$3:$V$11,2,FALSE),"")</f>
        <v/>
      </c>
      <c r="AK135" s="270">
        <f t="shared" si="100"/>
        <v>100</v>
      </c>
      <c r="AL135" s="447"/>
      <c r="AM135" s="449"/>
      <c r="AN135" s="269">
        <f>+IF(AND(Q135="Preventivo",AM133="Fuerte"),2,IF(AND(Q135="Preventivo",AM133="Moderado"),1,0))</f>
        <v>0</v>
      </c>
      <c r="AO135" s="269">
        <f t="shared" si="101"/>
        <v>0</v>
      </c>
      <c r="AP135" s="212">
        <f>+K133-AN135</f>
        <v>3</v>
      </c>
      <c r="AQ135" s="212">
        <f>+M133-AO135</f>
        <v>2</v>
      </c>
      <c r="AR135" s="433"/>
      <c r="AS135" s="433"/>
      <c r="AT135" s="433"/>
      <c r="AU135" s="433"/>
      <c r="AV135" s="562"/>
      <c r="AW135" s="562"/>
      <c r="AX135" s="587"/>
      <c r="AY135" s="587"/>
      <c r="AZ135" s="562"/>
      <c r="BA135" s="562"/>
      <c r="BB135" s="590"/>
      <c r="BC135" s="562"/>
      <c r="BD135" s="562"/>
      <c r="BE135" s="562"/>
      <c r="BF135" s="562"/>
      <c r="BG135" s="562"/>
    </row>
    <row r="136" spans="1:59" ht="14.15" customHeight="1">
      <c r="A136" s="437"/>
      <c r="B136" s="439"/>
      <c r="C136" s="500"/>
      <c r="D136" s="502"/>
      <c r="E136" s="149"/>
      <c r="F136" s="149"/>
      <c r="G136" s="137"/>
      <c r="H136" s="137"/>
      <c r="I136" s="137"/>
      <c r="J136" s="495"/>
      <c r="K136" s="467"/>
      <c r="L136" s="478"/>
      <c r="M136" s="467"/>
      <c r="N136" s="497"/>
      <c r="O136" s="149"/>
      <c r="P136" s="137"/>
      <c r="Q136" s="137"/>
      <c r="R136" s="231"/>
      <c r="S136" s="208" t="str">
        <f t="shared" si="90"/>
        <v/>
      </c>
      <c r="T136" s="231"/>
      <c r="U136" s="208" t="str">
        <f t="shared" si="91"/>
        <v/>
      </c>
      <c r="V136" s="207"/>
      <c r="W136" s="208" t="str">
        <f t="shared" si="92"/>
        <v/>
      </c>
      <c r="X136" s="207"/>
      <c r="Y136" s="208" t="str">
        <f t="shared" si="93"/>
        <v/>
      </c>
      <c r="Z136" s="207"/>
      <c r="AA136" s="208" t="str">
        <f t="shared" si="94"/>
        <v/>
      </c>
      <c r="AB136" s="207"/>
      <c r="AC136" s="208" t="str">
        <f t="shared" si="95"/>
        <v/>
      </c>
      <c r="AD136" s="207"/>
      <c r="AE136" s="208" t="str">
        <f t="shared" si="96"/>
        <v/>
      </c>
      <c r="AF136" s="270" t="str">
        <f t="shared" si="97"/>
        <v/>
      </c>
      <c r="AG136" s="270" t="str">
        <f t="shared" si="98"/>
        <v/>
      </c>
      <c r="AH136" s="209"/>
      <c r="AI136" s="210" t="str">
        <f t="shared" si="99"/>
        <v>Débil</v>
      </c>
      <c r="AJ136" s="211" t="str">
        <f>IFERROR(VLOOKUP((CONCATENATE(AG136,AI136)),Listados!$U$3:$V$11,2,FALSE),"")</f>
        <v/>
      </c>
      <c r="AK136" s="270">
        <f t="shared" si="100"/>
        <v>100</v>
      </c>
      <c r="AL136" s="447"/>
      <c r="AM136" s="449"/>
      <c r="AN136" s="269">
        <f>+IF(AND(Q136="Preventivo",AM133="Fuerte"),2,IF(AND(Q136="Preventivo",AM133="Moderado"),1,0))</f>
        <v>0</v>
      </c>
      <c r="AO136" s="269">
        <f t="shared" si="101"/>
        <v>0</v>
      </c>
      <c r="AP136" s="212">
        <f>+K133-AN136</f>
        <v>3</v>
      </c>
      <c r="AQ136" s="212">
        <f>+M133-AO136</f>
        <v>2</v>
      </c>
      <c r="AR136" s="433"/>
      <c r="AS136" s="433"/>
      <c r="AT136" s="433"/>
      <c r="AU136" s="433"/>
      <c r="AV136" s="562"/>
      <c r="AW136" s="562"/>
      <c r="AX136" s="587"/>
      <c r="AY136" s="587"/>
      <c r="AZ136" s="562"/>
      <c r="BA136" s="562"/>
      <c r="BB136" s="590"/>
      <c r="BC136" s="562"/>
      <c r="BD136" s="562"/>
      <c r="BE136" s="562"/>
      <c r="BF136" s="562"/>
      <c r="BG136" s="562"/>
    </row>
    <row r="137" spans="1:59" ht="14.15" customHeight="1">
      <c r="A137" s="437"/>
      <c r="B137" s="439"/>
      <c r="C137" s="500"/>
      <c r="D137" s="502"/>
      <c r="E137" s="149"/>
      <c r="F137" s="149"/>
      <c r="G137" s="137"/>
      <c r="H137" s="137"/>
      <c r="I137" s="137"/>
      <c r="J137" s="495"/>
      <c r="K137" s="467"/>
      <c r="L137" s="478"/>
      <c r="M137" s="467"/>
      <c r="N137" s="497"/>
      <c r="O137" s="149"/>
      <c r="P137" s="137"/>
      <c r="Q137" s="137"/>
      <c r="R137" s="231"/>
      <c r="S137" s="208" t="str">
        <f t="shared" si="90"/>
        <v/>
      </c>
      <c r="T137" s="231"/>
      <c r="U137" s="208" t="str">
        <f t="shared" si="91"/>
        <v/>
      </c>
      <c r="V137" s="207"/>
      <c r="W137" s="208" t="str">
        <f t="shared" si="92"/>
        <v/>
      </c>
      <c r="X137" s="207"/>
      <c r="Y137" s="208" t="str">
        <f t="shared" si="93"/>
        <v/>
      </c>
      <c r="Z137" s="207"/>
      <c r="AA137" s="208" t="str">
        <f t="shared" si="94"/>
        <v/>
      </c>
      <c r="AB137" s="207"/>
      <c r="AC137" s="208" t="str">
        <f t="shared" si="95"/>
        <v/>
      </c>
      <c r="AD137" s="207"/>
      <c r="AE137" s="208" t="str">
        <f t="shared" si="96"/>
        <v/>
      </c>
      <c r="AF137" s="270" t="str">
        <f t="shared" si="97"/>
        <v/>
      </c>
      <c r="AG137" s="270" t="str">
        <f t="shared" si="98"/>
        <v/>
      </c>
      <c r="AH137" s="209"/>
      <c r="AI137" s="210" t="str">
        <f t="shared" si="99"/>
        <v>Débil</v>
      </c>
      <c r="AJ137" s="211" t="str">
        <f>IFERROR(VLOOKUP((CONCATENATE(AG137,AI137)),Listados!$U$3:$V$11,2,FALSE),"")</f>
        <v/>
      </c>
      <c r="AK137" s="270">
        <f t="shared" si="100"/>
        <v>100</v>
      </c>
      <c r="AL137" s="447"/>
      <c r="AM137" s="449"/>
      <c r="AN137" s="269">
        <f>+IF(AND(Q137="Preventivo",AM133="Fuerte"),2,IF(AND(Q137="Preventivo",AM133="Moderado"),1,0))</f>
        <v>0</v>
      </c>
      <c r="AO137" s="269">
        <f t="shared" si="101"/>
        <v>0</v>
      </c>
      <c r="AP137" s="212">
        <f>+K133-AN137</f>
        <v>3</v>
      </c>
      <c r="AQ137" s="212">
        <f>+M133-AO137</f>
        <v>2</v>
      </c>
      <c r="AR137" s="433"/>
      <c r="AS137" s="433"/>
      <c r="AT137" s="433"/>
      <c r="AU137" s="433"/>
      <c r="AV137" s="562"/>
      <c r="AW137" s="562"/>
      <c r="AX137" s="587"/>
      <c r="AY137" s="587"/>
      <c r="AZ137" s="562"/>
      <c r="BA137" s="562"/>
      <c r="BB137" s="590"/>
      <c r="BC137" s="562"/>
      <c r="BD137" s="562"/>
      <c r="BE137" s="562"/>
      <c r="BF137" s="562"/>
      <c r="BG137" s="562"/>
    </row>
    <row r="138" spans="1:59" ht="14.5" customHeight="1" thickBot="1">
      <c r="A138" s="438"/>
      <c r="B138" s="439"/>
      <c r="C138" s="500"/>
      <c r="D138" s="502"/>
      <c r="E138" s="149"/>
      <c r="F138" s="149"/>
      <c r="G138" s="137"/>
      <c r="H138" s="137"/>
      <c r="I138" s="137"/>
      <c r="J138" s="495"/>
      <c r="K138" s="468"/>
      <c r="L138" s="478"/>
      <c r="M138" s="468"/>
      <c r="N138" s="497"/>
      <c r="O138" s="149"/>
      <c r="P138" s="137"/>
      <c r="Q138" s="137"/>
      <c r="R138" s="231"/>
      <c r="S138" s="208" t="str">
        <f t="shared" si="90"/>
        <v/>
      </c>
      <c r="T138" s="231"/>
      <c r="U138" s="208" t="str">
        <f t="shared" si="91"/>
        <v/>
      </c>
      <c r="V138" s="207"/>
      <c r="W138" s="208" t="str">
        <f t="shared" si="92"/>
        <v/>
      </c>
      <c r="X138" s="207"/>
      <c r="Y138" s="208" t="str">
        <f t="shared" si="93"/>
        <v/>
      </c>
      <c r="Z138" s="207"/>
      <c r="AA138" s="208" t="str">
        <f t="shared" si="94"/>
        <v/>
      </c>
      <c r="AB138" s="207"/>
      <c r="AC138" s="208" t="str">
        <f t="shared" si="95"/>
        <v/>
      </c>
      <c r="AD138" s="207"/>
      <c r="AE138" s="208" t="str">
        <f t="shared" si="96"/>
        <v/>
      </c>
      <c r="AF138" s="270" t="str">
        <f t="shared" si="97"/>
        <v/>
      </c>
      <c r="AG138" s="270" t="str">
        <f t="shared" si="98"/>
        <v/>
      </c>
      <c r="AH138" s="209"/>
      <c r="AI138" s="210" t="str">
        <f t="shared" si="99"/>
        <v>Débil</v>
      </c>
      <c r="AJ138" s="211" t="str">
        <f>IFERROR(VLOOKUP((CONCATENATE(AG138,AI138)),Listados!$U$3:$V$11,2,FALSE),"")</f>
        <v/>
      </c>
      <c r="AK138" s="270">
        <f t="shared" si="100"/>
        <v>100</v>
      </c>
      <c r="AL138" s="448"/>
      <c r="AM138" s="449"/>
      <c r="AN138" s="269">
        <f>+IF(AND(Q138="Preventivo",AM133="Fuerte"),2,IF(AND(Q138="Preventivo",AM133="Moderado"),1,0))</f>
        <v>0</v>
      </c>
      <c r="AO138" s="269">
        <f t="shared" si="101"/>
        <v>0</v>
      </c>
      <c r="AP138" s="212">
        <f>+K133-AN138</f>
        <v>3</v>
      </c>
      <c r="AQ138" s="212">
        <f>+M133-AO138</f>
        <v>2</v>
      </c>
      <c r="AR138" s="434"/>
      <c r="AS138" s="434"/>
      <c r="AT138" s="434"/>
      <c r="AU138" s="434"/>
      <c r="AV138" s="563"/>
      <c r="AW138" s="563"/>
      <c r="AX138" s="588"/>
      <c r="AY138" s="588"/>
      <c r="AZ138" s="563"/>
      <c r="BA138" s="563"/>
      <c r="BB138" s="591"/>
      <c r="BC138" s="563"/>
      <c r="BD138" s="563"/>
      <c r="BE138" s="563"/>
      <c r="BF138" s="563"/>
      <c r="BG138" s="563"/>
    </row>
    <row r="139" spans="1:59" ht="140">
      <c r="A139" s="436">
        <v>24</v>
      </c>
      <c r="B139" s="439" t="s">
        <v>95</v>
      </c>
      <c r="C139" s="500" t="str">
        <f>IFERROR(VLOOKUP(B139,Listados!B$3:C$20,2,FALSE),"")</f>
        <v>Apoyar a las diferentes dependencias de la Entidad y del Sector Justicia en el cumplimiento de su función administrativa, emitir conceptos jurídicos, defender y representar jurídicamente al Ministerio de Justicia y del Derecho</v>
      </c>
      <c r="D139" s="502" t="s">
        <v>1291</v>
      </c>
      <c r="E139" s="149" t="s">
        <v>41</v>
      </c>
      <c r="F139" s="149" t="s">
        <v>189</v>
      </c>
      <c r="G139" s="137" t="s">
        <v>340</v>
      </c>
      <c r="H139" s="137" t="s">
        <v>16</v>
      </c>
      <c r="I139" s="137" t="s">
        <v>341</v>
      </c>
      <c r="J139" s="495" t="s">
        <v>31</v>
      </c>
      <c r="K139" s="466">
        <f>+VLOOKUP(J139,Listados!$K$8:$L$12,2,0)</f>
        <v>2</v>
      </c>
      <c r="L139" s="477" t="s">
        <v>32</v>
      </c>
      <c r="M139" s="466">
        <f>+VLOOKUP(L139,Listados!$K$13:$L$17,2,0)</f>
        <v>2</v>
      </c>
      <c r="N139" s="496" t="str">
        <f>IF(AND(J139&lt;&gt;"",L139&lt;&gt;""),VLOOKUP(J139&amp;L139,Listados!$M$3:$N$27,2,FALSE),"")</f>
        <v>Bajo</v>
      </c>
      <c r="O139" s="151" t="s">
        <v>342</v>
      </c>
      <c r="P139" s="151" t="s">
        <v>340</v>
      </c>
      <c r="Q139" s="151" t="s">
        <v>20</v>
      </c>
      <c r="R139" s="207" t="s">
        <v>116</v>
      </c>
      <c r="S139" s="208">
        <f t="shared" si="90"/>
        <v>15</v>
      </c>
      <c r="T139" s="207" t="s">
        <v>257</v>
      </c>
      <c r="U139" s="208">
        <f t="shared" si="91"/>
        <v>15</v>
      </c>
      <c r="V139" s="207" t="s">
        <v>257</v>
      </c>
      <c r="W139" s="208">
        <f t="shared" si="92"/>
        <v>15</v>
      </c>
      <c r="X139" s="207" t="s">
        <v>20</v>
      </c>
      <c r="Y139" s="208">
        <f t="shared" si="93"/>
        <v>15</v>
      </c>
      <c r="Z139" s="207" t="s">
        <v>257</v>
      </c>
      <c r="AA139" s="208">
        <f t="shared" si="94"/>
        <v>15</v>
      </c>
      <c r="AB139" s="207" t="s">
        <v>257</v>
      </c>
      <c r="AC139" s="208">
        <f t="shared" si="95"/>
        <v>15</v>
      </c>
      <c r="AD139" s="207" t="s">
        <v>117</v>
      </c>
      <c r="AE139" s="208">
        <f t="shared" si="96"/>
        <v>10</v>
      </c>
      <c r="AF139" s="270">
        <f t="shared" si="97"/>
        <v>100</v>
      </c>
      <c r="AG139" s="270" t="str">
        <f t="shared" si="98"/>
        <v>Fuerte</v>
      </c>
      <c r="AH139" s="209" t="s">
        <v>118</v>
      </c>
      <c r="AI139" s="210" t="str">
        <f t="shared" si="99"/>
        <v>Fuerte</v>
      </c>
      <c r="AJ139" s="211" t="str">
        <f>IFERROR(VLOOKUP((CONCATENATE(AG139,AI139)),Listados!$U$3:$V$11,2,FALSE),"")</f>
        <v>Fuerte</v>
      </c>
      <c r="AK139" s="270">
        <f t="shared" si="100"/>
        <v>100</v>
      </c>
      <c r="AL139" s="446">
        <f>AVERAGE(AK139:AK144)</f>
        <v>100</v>
      </c>
      <c r="AM139" s="448" t="str">
        <f>IF(AL139&lt;=50, "Débil", IF(AL139&lt;=99,"Moderado","Fuerte"))</f>
        <v>Fuerte</v>
      </c>
      <c r="AN139" s="269">
        <f>+IF(AND(Q139="Preventivo",AM139="Fuerte"),2,IF(AND(Q139="Preventivo",AM139="Moderado"),1,0))</f>
        <v>2</v>
      </c>
      <c r="AO139" s="269">
        <f t="shared" si="101"/>
        <v>0</v>
      </c>
      <c r="AP139" s="212">
        <f>+K139-AN139</f>
        <v>0</v>
      </c>
      <c r="AQ139" s="212">
        <f>+M139-AO139</f>
        <v>2</v>
      </c>
      <c r="AR139" s="435" t="str">
        <f>+VLOOKUP(MIN(AP139,AP140,AP141,AP142,AP143,AP144),Listados!$J$18:$K$24,2,TRUE)</f>
        <v>Rara Vez</v>
      </c>
      <c r="AS139" s="435" t="str">
        <f>+VLOOKUP(MIN(AQ139,AQ140,AQ141,AQ142,AQ143,AQ144),Listados!$J$27:$K$32,2,TRUE)</f>
        <v>Menor</v>
      </c>
      <c r="AT139" s="435" t="str">
        <f>IF(AND(AR139&lt;&gt;"",AS139&lt;&gt;""),VLOOKUP(AR139&amp;AS139,Listados!$M$3:$N$27,2,FALSE),"")</f>
        <v>Bajo</v>
      </c>
      <c r="AU139" s="435" t="str">
        <f>+VLOOKUP(AT139,Listados!$P$3:$Q$6,2,FALSE)</f>
        <v>Asumir el riesgo</v>
      </c>
      <c r="AV139" s="585" t="s">
        <v>1155</v>
      </c>
      <c r="AW139" s="585" t="s">
        <v>1148</v>
      </c>
      <c r="AX139" s="586">
        <v>44927</v>
      </c>
      <c r="AY139" s="586">
        <v>45291</v>
      </c>
      <c r="AZ139" s="585" t="s">
        <v>1149</v>
      </c>
      <c r="BA139" s="585" t="s">
        <v>1150</v>
      </c>
      <c r="BB139" s="589" t="s">
        <v>1494</v>
      </c>
      <c r="BC139" s="585" t="s">
        <v>1494</v>
      </c>
      <c r="BD139" s="585"/>
      <c r="BE139" s="592" t="s">
        <v>1523</v>
      </c>
      <c r="BF139" s="585" t="s">
        <v>1831</v>
      </c>
      <c r="BG139" s="585"/>
    </row>
    <row r="140" spans="1:59" ht="140">
      <c r="A140" s="437"/>
      <c r="B140" s="439"/>
      <c r="C140" s="500"/>
      <c r="D140" s="502"/>
      <c r="E140" s="149"/>
      <c r="F140" s="149"/>
      <c r="G140" s="137" t="s">
        <v>343</v>
      </c>
      <c r="H140" s="137" t="s">
        <v>16</v>
      </c>
      <c r="I140" s="137" t="s">
        <v>344</v>
      </c>
      <c r="J140" s="495"/>
      <c r="K140" s="467"/>
      <c r="L140" s="478"/>
      <c r="M140" s="467"/>
      <c r="N140" s="497"/>
      <c r="O140" s="151" t="s">
        <v>342</v>
      </c>
      <c r="P140" s="151" t="s">
        <v>343</v>
      </c>
      <c r="Q140" s="151" t="s">
        <v>20</v>
      </c>
      <c r="R140" s="207" t="s">
        <v>116</v>
      </c>
      <c r="S140" s="208">
        <f t="shared" si="90"/>
        <v>15</v>
      </c>
      <c r="T140" s="207" t="s">
        <v>257</v>
      </c>
      <c r="U140" s="208">
        <f t="shared" si="91"/>
        <v>15</v>
      </c>
      <c r="V140" s="207" t="s">
        <v>257</v>
      </c>
      <c r="W140" s="208">
        <f t="shared" si="92"/>
        <v>15</v>
      </c>
      <c r="X140" s="207" t="s">
        <v>20</v>
      </c>
      <c r="Y140" s="208">
        <f t="shared" si="93"/>
        <v>15</v>
      </c>
      <c r="Z140" s="207" t="s">
        <v>257</v>
      </c>
      <c r="AA140" s="208">
        <f t="shared" si="94"/>
        <v>15</v>
      </c>
      <c r="AB140" s="207" t="s">
        <v>257</v>
      </c>
      <c r="AC140" s="208">
        <f t="shared" si="95"/>
        <v>15</v>
      </c>
      <c r="AD140" s="207" t="s">
        <v>117</v>
      </c>
      <c r="AE140" s="208">
        <f t="shared" si="96"/>
        <v>10</v>
      </c>
      <c r="AF140" s="270">
        <f t="shared" si="97"/>
        <v>100</v>
      </c>
      <c r="AG140" s="270" t="str">
        <f t="shared" si="98"/>
        <v>Fuerte</v>
      </c>
      <c r="AH140" s="209" t="s">
        <v>118</v>
      </c>
      <c r="AI140" s="210" t="str">
        <f t="shared" si="99"/>
        <v>Fuerte</v>
      </c>
      <c r="AJ140" s="211" t="str">
        <f>IFERROR(VLOOKUP((CONCATENATE(AG140,AI140)),Listados!$U$3:$V$11,2,FALSE),"")</f>
        <v>Fuerte</v>
      </c>
      <c r="AK140" s="270">
        <f t="shared" si="100"/>
        <v>100</v>
      </c>
      <c r="AL140" s="447"/>
      <c r="AM140" s="449"/>
      <c r="AN140" s="269">
        <f>+IF(AND(Q140="Preventivo",AM139="Fuerte"),2,IF(AND(Q140="Preventivo",AM139="Moderado"),1,0))</f>
        <v>2</v>
      </c>
      <c r="AO140" s="269">
        <f t="shared" si="101"/>
        <v>0</v>
      </c>
      <c r="AP140" s="212">
        <f>+K139-AN140</f>
        <v>0</v>
      </c>
      <c r="AQ140" s="212">
        <f>+M139-AO140</f>
        <v>2</v>
      </c>
      <c r="AR140" s="433"/>
      <c r="AS140" s="433"/>
      <c r="AT140" s="433"/>
      <c r="AU140" s="433"/>
      <c r="AV140" s="562"/>
      <c r="AW140" s="562"/>
      <c r="AX140" s="587"/>
      <c r="AY140" s="587"/>
      <c r="AZ140" s="562"/>
      <c r="BA140" s="562"/>
      <c r="BB140" s="590"/>
      <c r="BC140" s="562"/>
      <c r="BD140" s="562"/>
      <c r="BE140" s="562"/>
      <c r="BF140" s="562"/>
      <c r="BG140" s="562"/>
    </row>
    <row r="141" spans="1:59" ht="126">
      <c r="A141" s="437"/>
      <c r="B141" s="439"/>
      <c r="C141" s="500"/>
      <c r="D141" s="502"/>
      <c r="E141" s="149"/>
      <c r="F141" s="149"/>
      <c r="G141" s="137"/>
      <c r="H141" s="137"/>
      <c r="I141" s="137"/>
      <c r="J141" s="495"/>
      <c r="K141" s="467"/>
      <c r="L141" s="478"/>
      <c r="M141" s="467"/>
      <c r="N141" s="497"/>
      <c r="O141" s="151" t="s">
        <v>345</v>
      </c>
      <c r="P141" s="151" t="s">
        <v>343</v>
      </c>
      <c r="Q141" s="151" t="s">
        <v>123</v>
      </c>
      <c r="R141" s="207" t="s">
        <v>116</v>
      </c>
      <c r="S141" s="208">
        <f t="shared" si="90"/>
        <v>15</v>
      </c>
      <c r="T141" s="207" t="s">
        <v>257</v>
      </c>
      <c r="U141" s="208">
        <f t="shared" si="91"/>
        <v>15</v>
      </c>
      <c r="V141" s="207" t="s">
        <v>257</v>
      </c>
      <c r="W141" s="208">
        <f t="shared" si="92"/>
        <v>15</v>
      </c>
      <c r="X141" s="207" t="s">
        <v>20</v>
      </c>
      <c r="Y141" s="208">
        <f t="shared" si="93"/>
        <v>15</v>
      </c>
      <c r="Z141" s="207" t="s">
        <v>257</v>
      </c>
      <c r="AA141" s="208">
        <f t="shared" si="94"/>
        <v>15</v>
      </c>
      <c r="AB141" s="207" t="s">
        <v>257</v>
      </c>
      <c r="AC141" s="208">
        <f t="shared" si="95"/>
        <v>15</v>
      </c>
      <c r="AD141" s="207" t="s">
        <v>117</v>
      </c>
      <c r="AE141" s="208">
        <f t="shared" si="96"/>
        <v>10</v>
      </c>
      <c r="AF141" s="270">
        <f t="shared" si="97"/>
        <v>100</v>
      </c>
      <c r="AG141" s="270" t="str">
        <f t="shared" si="98"/>
        <v>Fuerte</v>
      </c>
      <c r="AH141" s="209" t="s">
        <v>118</v>
      </c>
      <c r="AI141" s="210" t="str">
        <f t="shared" si="99"/>
        <v>Fuerte</v>
      </c>
      <c r="AJ141" s="211" t="str">
        <f>IFERROR(VLOOKUP((CONCATENATE(AG141,AI141)),Listados!$U$3:$V$11,2,FALSE),"")</f>
        <v>Fuerte</v>
      </c>
      <c r="AK141" s="270">
        <f t="shared" si="100"/>
        <v>100</v>
      </c>
      <c r="AL141" s="447"/>
      <c r="AM141" s="449"/>
      <c r="AN141" s="269">
        <f>+IF(AND(Q141="Preventivo",AM139="Fuerte"),2,IF(AND(Q141="Preventivo",AM139="Moderado"),1,0))</f>
        <v>0</v>
      </c>
      <c r="AO141" s="269">
        <f t="shared" si="101"/>
        <v>0</v>
      </c>
      <c r="AP141" s="212">
        <f>+K139-AN141</f>
        <v>2</v>
      </c>
      <c r="AQ141" s="212">
        <f>+M139-AO141</f>
        <v>2</v>
      </c>
      <c r="AR141" s="433"/>
      <c r="AS141" s="433"/>
      <c r="AT141" s="433"/>
      <c r="AU141" s="433"/>
      <c r="AV141" s="562"/>
      <c r="AW141" s="562"/>
      <c r="AX141" s="587"/>
      <c r="AY141" s="587"/>
      <c r="AZ141" s="562"/>
      <c r="BA141" s="562"/>
      <c r="BB141" s="590"/>
      <c r="BC141" s="562"/>
      <c r="BD141" s="562"/>
      <c r="BE141" s="562"/>
      <c r="BF141" s="562"/>
      <c r="BG141" s="562"/>
    </row>
    <row r="142" spans="1:59" ht="14.15" customHeight="1">
      <c r="A142" s="437"/>
      <c r="B142" s="439"/>
      <c r="C142" s="500"/>
      <c r="D142" s="502"/>
      <c r="E142" s="149"/>
      <c r="F142" s="149"/>
      <c r="G142" s="137"/>
      <c r="H142" s="137"/>
      <c r="I142" s="137"/>
      <c r="J142" s="495"/>
      <c r="K142" s="467"/>
      <c r="L142" s="478"/>
      <c r="M142" s="467"/>
      <c r="N142" s="497"/>
      <c r="O142" s="149"/>
      <c r="P142" s="137"/>
      <c r="Q142" s="137"/>
      <c r="R142" s="231"/>
      <c r="S142" s="208" t="str">
        <f t="shared" si="90"/>
        <v/>
      </c>
      <c r="T142" s="231"/>
      <c r="U142" s="208" t="str">
        <f t="shared" si="91"/>
        <v/>
      </c>
      <c r="V142" s="207"/>
      <c r="W142" s="208" t="str">
        <f t="shared" si="92"/>
        <v/>
      </c>
      <c r="X142" s="207"/>
      <c r="Y142" s="208" t="str">
        <f t="shared" si="93"/>
        <v/>
      </c>
      <c r="Z142" s="207"/>
      <c r="AA142" s="208" t="str">
        <f t="shared" si="94"/>
        <v/>
      </c>
      <c r="AB142" s="207"/>
      <c r="AC142" s="208" t="str">
        <f t="shared" si="95"/>
        <v/>
      </c>
      <c r="AD142" s="207"/>
      <c r="AE142" s="208" t="str">
        <f t="shared" si="96"/>
        <v/>
      </c>
      <c r="AF142" s="270" t="str">
        <f t="shared" si="97"/>
        <v/>
      </c>
      <c r="AG142" s="270" t="str">
        <f t="shared" si="98"/>
        <v/>
      </c>
      <c r="AH142" s="209"/>
      <c r="AI142" s="210" t="str">
        <f t="shared" si="99"/>
        <v>Débil</v>
      </c>
      <c r="AJ142" s="211" t="str">
        <f>IFERROR(VLOOKUP((CONCATENATE(AG142,AI142)),Listados!$U$3:$V$11,2,FALSE),"")</f>
        <v/>
      </c>
      <c r="AK142" s="270">
        <f t="shared" si="100"/>
        <v>100</v>
      </c>
      <c r="AL142" s="447"/>
      <c r="AM142" s="449"/>
      <c r="AN142" s="269">
        <f>+IF(AND(Q142="Preventivo",AM139="Fuerte"),2,IF(AND(Q142="Preventivo",AM139="Moderado"),1,0))</f>
        <v>0</v>
      </c>
      <c r="AO142" s="269">
        <f t="shared" si="101"/>
        <v>0</v>
      </c>
      <c r="AP142" s="212">
        <f>+K139-AN142</f>
        <v>2</v>
      </c>
      <c r="AQ142" s="212">
        <f>+M139-AO142</f>
        <v>2</v>
      </c>
      <c r="AR142" s="433"/>
      <c r="AS142" s="433"/>
      <c r="AT142" s="433"/>
      <c r="AU142" s="433"/>
      <c r="AV142" s="562"/>
      <c r="AW142" s="562"/>
      <c r="AX142" s="587"/>
      <c r="AY142" s="587"/>
      <c r="AZ142" s="562"/>
      <c r="BA142" s="562"/>
      <c r="BB142" s="590"/>
      <c r="BC142" s="562"/>
      <c r="BD142" s="562"/>
      <c r="BE142" s="562"/>
      <c r="BF142" s="562"/>
      <c r="BG142" s="562"/>
    </row>
    <row r="143" spans="1:59" ht="14.15" customHeight="1">
      <c r="A143" s="437"/>
      <c r="B143" s="439"/>
      <c r="C143" s="500"/>
      <c r="D143" s="502"/>
      <c r="E143" s="149"/>
      <c r="F143" s="149"/>
      <c r="G143" s="137"/>
      <c r="H143" s="137"/>
      <c r="I143" s="137"/>
      <c r="J143" s="495"/>
      <c r="K143" s="467"/>
      <c r="L143" s="478"/>
      <c r="M143" s="467"/>
      <c r="N143" s="497"/>
      <c r="O143" s="149"/>
      <c r="P143" s="137"/>
      <c r="Q143" s="137"/>
      <c r="R143" s="231"/>
      <c r="S143" s="208" t="str">
        <f t="shared" si="90"/>
        <v/>
      </c>
      <c r="T143" s="231"/>
      <c r="U143" s="208" t="str">
        <f t="shared" si="91"/>
        <v/>
      </c>
      <c r="V143" s="207"/>
      <c r="W143" s="208" t="str">
        <f t="shared" si="92"/>
        <v/>
      </c>
      <c r="X143" s="207"/>
      <c r="Y143" s="208" t="str">
        <f t="shared" si="93"/>
        <v/>
      </c>
      <c r="Z143" s="207"/>
      <c r="AA143" s="208" t="str">
        <f t="shared" si="94"/>
        <v/>
      </c>
      <c r="AB143" s="207"/>
      <c r="AC143" s="208" t="str">
        <f t="shared" si="95"/>
        <v/>
      </c>
      <c r="AD143" s="207"/>
      <c r="AE143" s="208" t="str">
        <f t="shared" si="96"/>
        <v/>
      </c>
      <c r="AF143" s="270" t="str">
        <f t="shared" si="97"/>
        <v/>
      </c>
      <c r="AG143" s="270" t="str">
        <f t="shared" si="98"/>
        <v/>
      </c>
      <c r="AH143" s="209"/>
      <c r="AI143" s="210" t="str">
        <f t="shared" si="99"/>
        <v>Débil</v>
      </c>
      <c r="AJ143" s="211" t="str">
        <f>IFERROR(VLOOKUP((CONCATENATE(AG143,AI143)),Listados!$U$3:$V$11,2,FALSE),"")</f>
        <v/>
      </c>
      <c r="AK143" s="270">
        <f t="shared" si="100"/>
        <v>100</v>
      </c>
      <c r="AL143" s="447"/>
      <c r="AM143" s="449"/>
      <c r="AN143" s="269">
        <f>+IF(AND(Q143="Preventivo",AM139="Fuerte"),2,IF(AND(Q143="Preventivo",AM139="Moderado"),1,0))</f>
        <v>0</v>
      </c>
      <c r="AO143" s="269">
        <f t="shared" si="101"/>
        <v>0</v>
      </c>
      <c r="AP143" s="212">
        <f>+K139-AN143</f>
        <v>2</v>
      </c>
      <c r="AQ143" s="212">
        <f>+M139-AO143</f>
        <v>2</v>
      </c>
      <c r="AR143" s="433"/>
      <c r="AS143" s="433"/>
      <c r="AT143" s="433"/>
      <c r="AU143" s="433"/>
      <c r="AV143" s="562"/>
      <c r="AW143" s="562"/>
      <c r="AX143" s="587"/>
      <c r="AY143" s="587"/>
      <c r="AZ143" s="562"/>
      <c r="BA143" s="562"/>
      <c r="BB143" s="590"/>
      <c r="BC143" s="562"/>
      <c r="BD143" s="562"/>
      <c r="BE143" s="562"/>
      <c r="BF143" s="562"/>
      <c r="BG143" s="562"/>
    </row>
    <row r="144" spans="1:59" ht="14.5" customHeight="1" thickBot="1">
      <c r="A144" s="438"/>
      <c r="B144" s="439"/>
      <c r="C144" s="500"/>
      <c r="D144" s="502"/>
      <c r="E144" s="149"/>
      <c r="F144" s="149"/>
      <c r="G144" s="137"/>
      <c r="H144" s="137"/>
      <c r="I144" s="137"/>
      <c r="J144" s="495"/>
      <c r="K144" s="468"/>
      <c r="L144" s="478"/>
      <c r="M144" s="468"/>
      <c r="N144" s="497"/>
      <c r="O144" s="149"/>
      <c r="P144" s="137"/>
      <c r="Q144" s="137"/>
      <c r="R144" s="231"/>
      <c r="S144" s="208" t="str">
        <f t="shared" si="90"/>
        <v/>
      </c>
      <c r="T144" s="231"/>
      <c r="U144" s="208" t="str">
        <f t="shared" si="91"/>
        <v/>
      </c>
      <c r="V144" s="207"/>
      <c r="W144" s="208" t="str">
        <f t="shared" si="92"/>
        <v/>
      </c>
      <c r="X144" s="207"/>
      <c r="Y144" s="208" t="str">
        <f t="shared" si="93"/>
        <v/>
      </c>
      <c r="Z144" s="207"/>
      <c r="AA144" s="208" t="str">
        <f t="shared" si="94"/>
        <v/>
      </c>
      <c r="AB144" s="207"/>
      <c r="AC144" s="208" t="str">
        <f t="shared" si="95"/>
        <v/>
      </c>
      <c r="AD144" s="207"/>
      <c r="AE144" s="208" t="str">
        <f t="shared" si="96"/>
        <v/>
      </c>
      <c r="AF144" s="270" t="str">
        <f t="shared" si="97"/>
        <v/>
      </c>
      <c r="AG144" s="270" t="str">
        <f t="shared" si="98"/>
        <v/>
      </c>
      <c r="AH144" s="209"/>
      <c r="AI144" s="210" t="str">
        <f t="shared" si="99"/>
        <v>Débil</v>
      </c>
      <c r="AJ144" s="211" t="str">
        <f>IFERROR(VLOOKUP((CONCATENATE(AG144,AI144)),Listados!$U$3:$V$11,2,FALSE),"")</f>
        <v/>
      </c>
      <c r="AK144" s="270">
        <f t="shared" si="100"/>
        <v>100</v>
      </c>
      <c r="AL144" s="448"/>
      <c r="AM144" s="449"/>
      <c r="AN144" s="269">
        <f>+IF(AND(Q144="Preventivo",AM139="Fuerte"),2,IF(AND(Q144="Preventivo",AM139="Moderado"),1,0))</f>
        <v>0</v>
      </c>
      <c r="AO144" s="269">
        <f t="shared" si="101"/>
        <v>0</v>
      </c>
      <c r="AP144" s="212">
        <f>+K139-AN144</f>
        <v>2</v>
      </c>
      <c r="AQ144" s="212">
        <f>+M139-AO144</f>
        <v>2</v>
      </c>
      <c r="AR144" s="434"/>
      <c r="AS144" s="434"/>
      <c r="AT144" s="434"/>
      <c r="AU144" s="434"/>
      <c r="AV144" s="563"/>
      <c r="AW144" s="563"/>
      <c r="AX144" s="588"/>
      <c r="AY144" s="588"/>
      <c r="AZ144" s="563"/>
      <c r="BA144" s="563"/>
      <c r="BB144" s="591"/>
      <c r="BC144" s="563"/>
      <c r="BD144" s="563"/>
      <c r="BE144" s="563"/>
      <c r="BF144" s="563"/>
      <c r="BG144" s="563"/>
    </row>
    <row r="145" spans="1:59" ht="154">
      <c r="A145" s="436">
        <v>25</v>
      </c>
      <c r="B145" s="439" t="s">
        <v>68</v>
      </c>
      <c r="C145" s="500" t="s">
        <v>1701</v>
      </c>
      <c r="D145" s="502" t="s">
        <v>1274</v>
      </c>
      <c r="E145" s="422" t="s">
        <v>15</v>
      </c>
      <c r="F145" s="149" t="s">
        <v>177</v>
      </c>
      <c r="G145" s="137" t="s">
        <v>346</v>
      </c>
      <c r="H145" s="137" t="s">
        <v>16</v>
      </c>
      <c r="I145" s="137" t="s">
        <v>347</v>
      </c>
      <c r="J145" s="495" t="s">
        <v>21</v>
      </c>
      <c r="K145" s="466">
        <f>+VLOOKUP(J145,Listados!$K$8:$L$12,2,0)</f>
        <v>1</v>
      </c>
      <c r="L145" s="477" t="s">
        <v>54</v>
      </c>
      <c r="M145" s="466">
        <f>+VLOOKUP(L145,Listados!$K$13:$L$17,2,0)</f>
        <v>4</v>
      </c>
      <c r="N145" s="496" t="str">
        <f>IF(AND(J145&lt;&gt;"",L145&lt;&gt;""),VLOOKUP(J145&amp;L145,Listados!$M$3:$N$27,2,FALSE),"")</f>
        <v>Alto</v>
      </c>
      <c r="O145" s="137" t="s">
        <v>348</v>
      </c>
      <c r="P145" s="149" t="s">
        <v>346</v>
      </c>
      <c r="Q145" s="151" t="s">
        <v>20</v>
      </c>
      <c r="R145" s="207" t="s">
        <v>116</v>
      </c>
      <c r="S145" s="208">
        <f t="shared" si="90"/>
        <v>15</v>
      </c>
      <c r="T145" s="207" t="s">
        <v>257</v>
      </c>
      <c r="U145" s="208">
        <f t="shared" si="91"/>
        <v>15</v>
      </c>
      <c r="V145" s="207" t="s">
        <v>257</v>
      </c>
      <c r="W145" s="208">
        <f t="shared" si="92"/>
        <v>15</v>
      </c>
      <c r="X145" s="207" t="s">
        <v>20</v>
      </c>
      <c r="Y145" s="208">
        <f t="shared" si="93"/>
        <v>15</v>
      </c>
      <c r="Z145" s="207" t="s">
        <v>257</v>
      </c>
      <c r="AA145" s="208">
        <f t="shared" si="94"/>
        <v>15</v>
      </c>
      <c r="AB145" s="207" t="s">
        <v>257</v>
      </c>
      <c r="AC145" s="208">
        <f t="shared" si="95"/>
        <v>15</v>
      </c>
      <c r="AD145" s="207" t="s">
        <v>117</v>
      </c>
      <c r="AE145" s="208">
        <f t="shared" si="96"/>
        <v>10</v>
      </c>
      <c r="AF145" s="270">
        <f t="shared" si="97"/>
        <v>100</v>
      </c>
      <c r="AG145" s="270" t="str">
        <f t="shared" si="98"/>
        <v>Fuerte</v>
      </c>
      <c r="AH145" s="209" t="s">
        <v>118</v>
      </c>
      <c r="AI145" s="210" t="str">
        <f t="shared" si="99"/>
        <v>Fuerte</v>
      </c>
      <c r="AJ145" s="211" t="str">
        <f>IFERROR(VLOOKUP((CONCATENATE(AG145,AI145)),Listados!$U$3:$V$11,2,FALSE),"")</f>
        <v>Fuerte</v>
      </c>
      <c r="AK145" s="270">
        <f t="shared" si="100"/>
        <v>100</v>
      </c>
      <c r="AL145" s="446">
        <f>AVERAGE(AK145:AK150)</f>
        <v>100</v>
      </c>
      <c r="AM145" s="448" t="str">
        <f>IF(AL145&lt;=50, "Débil", IF(AL145&lt;=99,"Moderado","Fuerte"))</f>
        <v>Fuerte</v>
      </c>
      <c r="AN145" s="269">
        <f>+IF(AND(Q145="Preventivo",AM145="Fuerte"),2,IF(AND(Q145="Preventivo",AM145="Moderado"),1,0))</f>
        <v>2</v>
      </c>
      <c r="AO145" s="269">
        <f t="shared" si="101"/>
        <v>0</v>
      </c>
      <c r="AP145" s="212">
        <f>+K145-AN145</f>
        <v>-1</v>
      </c>
      <c r="AQ145" s="212">
        <f>+M145-AO145</f>
        <v>4</v>
      </c>
      <c r="AR145" s="435" t="str">
        <f>+VLOOKUP(MIN(AP145,AP146,AP147,AP148,AP149,AP150),Listados!$J$18:$K$24,2,TRUE)</f>
        <v>Rara Vez</v>
      </c>
      <c r="AS145" s="435" t="str">
        <f>+VLOOKUP(MIN(AQ145,AQ146,AQ147,AQ148,AQ149,AQ150),Listados!$J$27:$K$32,2,TRUE)</f>
        <v>Mayor</v>
      </c>
      <c r="AT145" s="435" t="str">
        <f>IF(AND(AR145&lt;&gt;"",AS145&lt;&gt;""),VLOOKUP(AR145&amp;AS145,Listados!$M$3:$N$27,2,FALSE),"")</f>
        <v>Alto</v>
      </c>
      <c r="AU145" s="435" t="str">
        <f>+VLOOKUP(AT145,Listados!$P$3:$Q$6,2,FALSE)</f>
        <v>Reducir el riesgo</v>
      </c>
      <c r="AV145" s="585" t="s">
        <v>1276</v>
      </c>
      <c r="AW145" s="585" t="s">
        <v>1123</v>
      </c>
      <c r="AX145" s="586">
        <v>44927</v>
      </c>
      <c r="AY145" s="586">
        <v>45291</v>
      </c>
      <c r="AZ145" s="585" t="s">
        <v>1438</v>
      </c>
      <c r="BA145" s="585" t="s">
        <v>1124</v>
      </c>
      <c r="BB145" s="589" t="s">
        <v>1440</v>
      </c>
      <c r="BC145" s="585" t="s">
        <v>1601</v>
      </c>
      <c r="BD145" s="585"/>
      <c r="BE145" s="592" t="s">
        <v>1523</v>
      </c>
      <c r="BF145" s="585" t="s">
        <v>1778</v>
      </c>
      <c r="BG145" s="585"/>
    </row>
    <row r="146" spans="1:59" ht="168">
      <c r="A146" s="437"/>
      <c r="B146" s="439"/>
      <c r="C146" s="500"/>
      <c r="D146" s="502"/>
      <c r="E146" s="149"/>
      <c r="F146" s="149"/>
      <c r="G146" s="137" t="s">
        <v>349</v>
      </c>
      <c r="H146" s="137" t="s">
        <v>16</v>
      </c>
      <c r="I146" s="137" t="s">
        <v>350</v>
      </c>
      <c r="J146" s="495"/>
      <c r="K146" s="467"/>
      <c r="L146" s="478"/>
      <c r="M146" s="467"/>
      <c r="N146" s="497"/>
      <c r="O146" s="137" t="s">
        <v>352</v>
      </c>
      <c r="P146" s="149" t="s">
        <v>349</v>
      </c>
      <c r="Q146" s="151" t="s">
        <v>20</v>
      </c>
      <c r="R146" s="207" t="s">
        <v>116</v>
      </c>
      <c r="S146" s="208">
        <f t="shared" ref="S146" si="102">+IF(R146="si",15,"")</f>
        <v>15</v>
      </c>
      <c r="T146" s="207" t="s">
        <v>257</v>
      </c>
      <c r="U146" s="208">
        <f t="shared" ref="U146" si="103">+IF(T146="si",15,"")</f>
        <v>15</v>
      </c>
      <c r="V146" s="207" t="s">
        <v>257</v>
      </c>
      <c r="W146" s="208">
        <f t="shared" ref="W146" si="104">+IF(V146="si",15,"")</f>
        <v>15</v>
      </c>
      <c r="X146" s="207" t="s">
        <v>20</v>
      </c>
      <c r="Y146" s="208">
        <f t="shared" ref="Y146" si="105">+IF(X146="Preventivo",15,IF(X146="Detectivo",10,""))</f>
        <v>15</v>
      </c>
      <c r="Z146" s="207" t="s">
        <v>257</v>
      </c>
      <c r="AA146" s="208">
        <f t="shared" ref="AA146" si="106">+IF(Z146="si",15,"")</f>
        <v>15</v>
      </c>
      <c r="AB146" s="207" t="s">
        <v>257</v>
      </c>
      <c r="AC146" s="208">
        <f t="shared" ref="AC146" si="107">+IF(AB146="si",15,"")</f>
        <v>15</v>
      </c>
      <c r="AD146" s="207" t="s">
        <v>117</v>
      </c>
      <c r="AE146" s="208">
        <f t="shared" si="96"/>
        <v>10</v>
      </c>
      <c r="AF146" s="270">
        <f t="shared" si="97"/>
        <v>100</v>
      </c>
      <c r="AG146" s="270" t="str">
        <f t="shared" si="98"/>
        <v>Fuerte</v>
      </c>
      <c r="AH146" s="209" t="s">
        <v>118</v>
      </c>
      <c r="AI146" s="210" t="str">
        <f t="shared" si="99"/>
        <v>Fuerte</v>
      </c>
      <c r="AJ146" s="211" t="str">
        <f>IFERROR(VLOOKUP((CONCATENATE(AG146,AI146)),Listados!$U$3:$V$11,2,FALSE),"")</f>
        <v>Fuerte</v>
      </c>
      <c r="AK146" s="270">
        <f t="shared" si="100"/>
        <v>100</v>
      </c>
      <c r="AL146" s="447"/>
      <c r="AM146" s="449"/>
      <c r="AN146" s="269">
        <f>+IF(AND(Q146="Preventivo",AM145="Fuerte"),2,IF(AND(Q146="Preventivo",AM145="Moderado"),1,0))</f>
        <v>2</v>
      </c>
      <c r="AO146" s="269">
        <f t="shared" si="101"/>
        <v>0</v>
      </c>
      <c r="AP146" s="212">
        <f>+K145-AN146</f>
        <v>-1</v>
      </c>
      <c r="AQ146" s="212">
        <f>+M145-AO146</f>
        <v>4</v>
      </c>
      <c r="AR146" s="433"/>
      <c r="AS146" s="433"/>
      <c r="AT146" s="433"/>
      <c r="AU146" s="433"/>
      <c r="AV146" s="562"/>
      <c r="AW146" s="562"/>
      <c r="AX146" s="587"/>
      <c r="AY146" s="587"/>
      <c r="AZ146" s="562"/>
      <c r="BA146" s="562"/>
      <c r="BB146" s="590"/>
      <c r="BC146" s="562"/>
      <c r="BD146" s="562"/>
      <c r="BE146" s="562"/>
      <c r="BF146" s="562"/>
      <c r="BG146" s="562"/>
    </row>
    <row r="147" spans="1:59" ht="28">
      <c r="A147" s="437"/>
      <c r="B147" s="439"/>
      <c r="C147" s="500"/>
      <c r="D147" s="502"/>
      <c r="E147" s="149"/>
      <c r="F147" s="149"/>
      <c r="G147" s="137" t="s">
        <v>351</v>
      </c>
      <c r="H147" s="137" t="s">
        <v>16</v>
      </c>
      <c r="I147" s="137" t="s">
        <v>212</v>
      </c>
      <c r="J147" s="495"/>
      <c r="K147" s="467"/>
      <c r="L147" s="478"/>
      <c r="M147" s="467"/>
      <c r="N147" s="497"/>
      <c r="O147" s="137"/>
      <c r="P147" s="149"/>
      <c r="Q147" s="151"/>
      <c r="R147" s="207"/>
      <c r="S147" s="208"/>
      <c r="T147" s="207"/>
      <c r="U147" s="208"/>
      <c r="V147" s="207"/>
      <c r="W147" s="208"/>
      <c r="X147" s="207"/>
      <c r="Y147" s="208"/>
      <c r="Z147" s="207"/>
      <c r="AA147" s="208"/>
      <c r="AB147" s="207"/>
      <c r="AC147" s="208"/>
      <c r="AD147" s="207"/>
      <c r="AE147" s="208" t="str">
        <f t="shared" si="96"/>
        <v/>
      </c>
      <c r="AF147" s="270" t="str">
        <f t="shared" si="97"/>
        <v/>
      </c>
      <c r="AG147" s="270" t="str">
        <f t="shared" si="98"/>
        <v/>
      </c>
      <c r="AH147" s="209"/>
      <c r="AI147" s="210" t="str">
        <f t="shared" si="99"/>
        <v>Débil</v>
      </c>
      <c r="AJ147" s="211" t="str">
        <f>IFERROR(VLOOKUP((CONCATENATE(AG147,AI147)),Listados!$U$3:$V$11,2,FALSE),"")</f>
        <v/>
      </c>
      <c r="AK147" s="270">
        <f t="shared" si="100"/>
        <v>100</v>
      </c>
      <c r="AL147" s="447"/>
      <c r="AM147" s="449"/>
      <c r="AN147" s="269">
        <f>+IF(AND(Q147="Preventivo",AM145="Fuerte"),2,IF(AND(Q147="Preventivo",AM145="Moderado"),1,0))</f>
        <v>0</v>
      </c>
      <c r="AO147" s="269">
        <f t="shared" si="101"/>
        <v>0</v>
      </c>
      <c r="AP147" s="212">
        <f>+K145-AN147</f>
        <v>1</v>
      </c>
      <c r="AQ147" s="212">
        <f>+M145-AO147</f>
        <v>4</v>
      </c>
      <c r="AR147" s="433"/>
      <c r="AS147" s="433"/>
      <c r="AT147" s="433"/>
      <c r="AU147" s="433"/>
      <c r="AV147" s="562"/>
      <c r="AW147" s="562"/>
      <c r="AX147" s="587"/>
      <c r="AY147" s="587"/>
      <c r="AZ147" s="562"/>
      <c r="BA147" s="562"/>
      <c r="BB147" s="590"/>
      <c r="BC147" s="562"/>
      <c r="BD147" s="562"/>
      <c r="BE147" s="562"/>
      <c r="BF147" s="562"/>
      <c r="BG147" s="562"/>
    </row>
    <row r="148" spans="1:59" ht="14.15" customHeight="1">
      <c r="A148" s="437"/>
      <c r="B148" s="439"/>
      <c r="C148" s="500"/>
      <c r="D148" s="502"/>
      <c r="E148" s="149"/>
      <c r="F148" s="149"/>
      <c r="G148" s="137"/>
      <c r="H148" s="137"/>
      <c r="I148" s="137"/>
      <c r="J148" s="495"/>
      <c r="K148" s="467"/>
      <c r="L148" s="478"/>
      <c r="M148" s="467"/>
      <c r="N148" s="497"/>
      <c r="O148" s="137"/>
      <c r="P148" s="149"/>
      <c r="Q148" s="151"/>
      <c r="R148" s="207"/>
      <c r="S148" s="208"/>
      <c r="T148" s="207"/>
      <c r="U148" s="208"/>
      <c r="V148" s="207"/>
      <c r="W148" s="208"/>
      <c r="X148" s="207"/>
      <c r="Y148" s="208"/>
      <c r="Z148" s="207"/>
      <c r="AA148" s="208"/>
      <c r="AB148" s="207"/>
      <c r="AC148" s="208"/>
      <c r="AD148" s="207"/>
      <c r="AE148" s="208" t="str">
        <f t="shared" si="96"/>
        <v/>
      </c>
      <c r="AF148" s="270" t="str">
        <f t="shared" si="97"/>
        <v/>
      </c>
      <c r="AG148" s="270" t="str">
        <f t="shared" si="98"/>
        <v/>
      </c>
      <c r="AH148" s="209"/>
      <c r="AI148" s="210" t="str">
        <f t="shared" si="99"/>
        <v>Débil</v>
      </c>
      <c r="AJ148" s="211" t="str">
        <f>IFERROR(VLOOKUP((CONCATENATE(AG148,AI148)),Listados!$U$3:$V$11,2,FALSE),"")</f>
        <v/>
      </c>
      <c r="AK148" s="270">
        <f t="shared" si="100"/>
        <v>100</v>
      </c>
      <c r="AL148" s="447"/>
      <c r="AM148" s="449"/>
      <c r="AN148" s="269">
        <f>+IF(AND(Q148="Preventivo",AM145="Fuerte"),2,IF(AND(Q148="Preventivo",AM145="Moderado"),1,0))</f>
        <v>0</v>
      </c>
      <c r="AO148" s="269">
        <f t="shared" si="101"/>
        <v>0</v>
      </c>
      <c r="AP148" s="212">
        <f>+K145-AN148</f>
        <v>1</v>
      </c>
      <c r="AQ148" s="212">
        <f>+M145-AO148</f>
        <v>4</v>
      </c>
      <c r="AR148" s="433"/>
      <c r="AS148" s="433"/>
      <c r="AT148" s="433"/>
      <c r="AU148" s="433"/>
      <c r="AV148" s="562"/>
      <c r="AW148" s="562"/>
      <c r="AX148" s="587"/>
      <c r="AY148" s="587"/>
      <c r="AZ148" s="562"/>
      <c r="BA148" s="562"/>
      <c r="BB148" s="590"/>
      <c r="BC148" s="562"/>
      <c r="BD148" s="562"/>
      <c r="BE148" s="562"/>
      <c r="BF148" s="562"/>
      <c r="BG148" s="562"/>
    </row>
    <row r="149" spans="1:59" ht="14.15" customHeight="1">
      <c r="A149" s="437"/>
      <c r="B149" s="439"/>
      <c r="C149" s="500"/>
      <c r="D149" s="502"/>
      <c r="E149" s="149"/>
      <c r="F149" s="149"/>
      <c r="G149" s="137"/>
      <c r="H149" s="137"/>
      <c r="I149" s="137"/>
      <c r="J149" s="495"/>
      <c r="K149" s="467"/>
      <c r="L149" s="478"/>
      <c r="M149" s="467"/>
      <c r="N149" s="497"/>
      <c r="O149" s="149"/>
      <c r="P149" s="137"/>
      <c r="Q149" s="137"/>
      <c r="R149" s="231"/>
      <c r="S149" s="208" t="str">
        <f t="shared" si="90"/>
        <v/>
      </c>
      <c r="T149" s="231"/>
      <c r="U149" s="208" t="str">
        <f t="shared" si="91"/>
        <v/>
      </c>
      <c r="V149" s="207"/>
      <c r="W149" s="208" t="str">
        <f t="shared" si="92"/>
        <v/>
      </c>
      <c r="X149" s="207"/>
      <c r="Y149" s="208" t="str">
        <f t="shared" si="93"/>
        <v/>
      </c>
      <c r="Z149" s="207"/>
      <c r="AA149" s="208" t="str">
        <f t="shared" si="94"/>
        <v/>
      </c>
      <c r="AB149" s="207"/>
      <c r="AC149" s="208" t="str">
        <f t="shared" si="95"/>
        <v/>
      </c>
      <c r="AD149" s="207"/>
      <c r="AE149" s="208" t="str">
        <f t="shared" si="96"/>
        <v/>
      </c>
      <c r="AF149" s="270" t="str">
        <f t="shared" si="97"/>
        <v/>
      </c>
      <c r="AG149" s="270" t="str">
        <f t="shared" si="98"/>
        <v/>
      </c>
      <c r="AH149" s="209"/>
      <c r="AI149" s="210" t="str">
        <f t="shared" si="99"/>
        <v>Débil</v>
      </c>
      <c r="AJ149" s="211" t="str">
        <f>IFERROR(VLOOKUP((CONCATENATE(AG149,AI149)),Listados!$U$3:$V$11,2,FALSE),"")</f>
        <v/>
      </c>
      <c r="AK149" s="270">
        <f t="shared" si="100"/>
        <v>100</v>
      </c>
      <c r="AL149" s="447"/>
      <c r="AM149" s="449"/>
      <c r="AN149" s="269">
        <f>+IF(AND(Q149="Preventivo",AM145="Fuerte"),2,IF(AND(Q149="Preventivo",AM145="Moderado"),1,0))</f>
        <v>0</v>
      </c>
      <c r="AO149" s="269">
        <f t="shared" si="101"/>
        <v>0</v>
      </c>
      <c r="AP149" s="212">
        <f>+K145-AN149</f>
        <v>1</v>
      </c>
      <c r="AQ149" s="212">
        <f>+M145-AO149</f>
        <v>4</v>
      </c>
      <c r="AR149" s="433"/>
      <c r="AS149" s="433"/>
      <c r="AT149" s="433"/>
      <c r="AU149" s="433"/>
      <c r="AV149" s="562"/>
      <c r="AW149" s="562"/>
      <c r="AX149" s="587"/>
      <c r="AY149" s="587"/>
      <c r="AZ149" s="562"/>
      <c r="BA149" s="562"/>
      <c r="BB149" s="590"/>
      <c r="BC149" s="562"/>
      <c r="BD149" s="562"/>
      <c r="BE149" s="562"/>
      <c r="BF149" s="562"/>
      <c r="BG149" s="562"/>
    </row>
    <row r="150" spans="1:59" ht="14.5" customHeight="1" thickBot="1">
      <c r="A150" s="438"/>
      <c r="B150" s="439"/>
      <c r="C150" s="500"/>
      <c r="D150" s="502"/>
      <c r="E150" s="149"/>
      <c r="F150" s="149"/>
      <c r="G150" s="137"/>
      <c r="H150" s="137"/>
      <c r="I150" s="137"/>
      <c r="J150" s="495"/>
      <c r="K150" s="468"/>
      <c r="L150" s="478"/>
      <c r="M150" s="468"/>
      <c r="N150" s="497"/>
      <c r="O150" s="149"/>
      <c r="P150" s="137"/>
      <c r="Q150" s="137"/>
      <c r="R150" s="231"/>
      <c r="S150" s="208" t="str">
        <f t="shared" si="90"/>
        <v/>
      </c>
      <c r="T150" s="231"/>
      <c r="U150" s="208" t="str">
        <f t="shared" si="91"/>
        <v/>
      </c>
      <c r="V150" s="207"/>
      <c r="W150" s="208" t="str">
        <f t="shared" si="92"/>
        <v/>
      </c>
      <c r="X150" s="207"/>
      <c r="Y150" s="208" t="str">
        <f t="shared" si="93"/>
        <v/>
      </c>
      <c r="Z150" s="207"/>
      <c r="AA150" s="208" t="str">
        <f t="shared" si="94"/>
        <v/>
      </c>
      <c r="AB150" s="207"/>
      <c r="AC150" s="208" t="str">
        <f t="shared" si="95"/>
        <v/>
      </c>
      <c r="AD150" s="207"/>
      <c r="AE150" s="208" t="str">
        <f t="shared" si="96"/>
        <v/>
      </c>
      <c r="AF150" s="270" t="str">
        <f t="shared" si="97"/>
        <v/>
      </c>
      <c r="AG150" s="270" t="str">
        <f t="shared" si="98"/>
        <v/>
      </c>
      <c r="AH150" s="209"/>
      <c r="AI150" s="210" t="str">
        <f t="shared" si="99"/>
        <v>Débil</v>
      </c>
      <c r="AJ150" s="211" t="str">
        <f>IFERROR(VLOOKUP((CONCATENATE(AG150,AI150)),Listados!$U$3:$V$11,2,FALSE),"")</f>
        <v/>
      </c>
      <c r="AK150" s="270">
        <f t="shared" si="100"/>
        <v>100</v>
      </c>
      <c r="AL150" s="448"/>
      <c r="AM150" s="449"/>
      <c r="AN150" s="269">
        <f>+IF(AND(Q150="Preventivo",AM145="Fuerte"),2,IF(AND(Q150="Preventivo",AM145="Moderado"),1,0))</f>
        <v>0</v>
      </c>
      <c r="AO150" s="269">
        <f t="shared" si="101"/>
        <v>0</v>
      </c>
      <c r="AP150" s="212">
        <f>+K145-AN150</f>
        <v>1</v>
      </c>
      <c r="AQ150" s="212">
        <f>+M145-AO150</f>
        <v>4</v>
      </c>
      <c r="AR150" s="434"/>
      <c r="AS150" s="434"/>
      <c r="AT150" s="434"/>
      <c r="AU150" s="434"/>
      <c r="AV150" s="563"/>
      <c r="AW150" s="563"/>
      <c r="AX150" s="588"/>
      <c r="AY150" s="588"/>
      <c r="AZ150" s="563"/>
      <c r="BA150" s="563"/>
      <c r="BB150" s="591"/>
      <c r="BC150" s="563"/>
      <c r="BD150" s="563"/>
      <c r="BE150" s="563"/>
      <c r="BF150" s="563"/>
      <c r="BG150" s="563"/>
    </row>
    <row r="151" spans="1:59" ht="168">
      <c r="A151" s="436">
        <v>26</v>
      </c>
      <c r="B151" s="439" t="s">
        <v>68</v>
      </c>
      <c r="C151" s="500" t="s">
        <v>1701</v>
      </c>
      <c r="D151" s="502" t="s">
        <v>1275</v>
      </c>
      <c r="E151" s="422" t="s">
        <v>15</v>
      </c>
      <c r="F151" s="149" t="s">
        <v>177</v>
      </c>
      <c r="G151" s="137" t="s">
        <v>349</v>
      </c>
      <c r="H151" s="137" t="s">
        <v>16</v>
      </c>
      <c r="I151" s="137" t="s">
        <v>350</v>
      </c>
      <c r="J151" s="495" t="s">
        <v>31</v>
      </c>
      <c r="K151" s="466">
        <f>+VLOOKUP(J151,Listados!$K$8:$L$12,2,0)</f>
        <v>2</v>
      </c>
      <c r="L151" s="477" t="s">
        <v>32</v>
      </c>
      <c r="M151" s="466">
        <f>+VLOOKUP(L151,Listados!$K$13:$L$17,2,0)</f>
        <v>2</v>
      </c>
      <c r="N151" s="496" t="str">
        <f>IF(AND(J151&lt;&gt;"",L151&lt;&gt;""),VLOOKUP(J151&amp;L151,Listados!$M$3:$N$27,2,FALSE),"")</f>
        <v>Bajo</v>
      </c>
      <c r="O151" s="137" t="s">
        <v>352</v>
      </c>
      <c r="P151" s="137" t="s">
        <v>349</v>
      </c>
      <c r="Q151" s="151" t="s">
        <v>20</v>
      </c>
      <c r="R151" s="207" t="s">
        <v>116</v>
      </c>
      <c r="S151" s="208">
        <f t="shared" si="90"/>
        <v>15</v>
      </c>
      <c r="T151" s="207" t="s">
        <v>257</v>
      </c>
      <c r="U151" s="208">
        <f t="shared" si="91"/>
        <v>15</v>
      </c>
      <c r="V151" s="207" t="s">
        <v>257</v>
      </c>
      <c r="W151" s="208">
        <f t="shared" si="92"/>
        <v>15</v>
      </c>
      <c r="X151" s="207" t="s">
        <v>20</v>
      </c>
      <c r="Y151" s="208">
        <f t="shared" si="93"/>
        <v>15</v>
      </c>
      <c r="Z151" s="207" t="s">
        <v>257</v>
      </c>
      <c r="AA151" s="208">
        <f t="shared" si="94"/>
        <v>15</v>
      </c>
      <c r="AB151" s="207" t="s">
        <v>257</v>
      </c>
      <c r="AC151" s="208">
        <f t="shared" si="95"/>
        <v>15</v>
      </c>
      <c r="AD151" s="207" t="s">
        <v>117</v>
      </c>
      <c r="AE151" s="208">
        <f t="shared" si="96"/>
        <v>10</v>
      </c>
      <c r="AF151" s="270">
        <f t="shared" si="97"/>
        <v>100</v>
      </c>
      <c r="AG151" s="270" t="str">
        <f t="shared" si="98"/>
        <v>Fuerte</v>
      </c>
      <c r="AH151" s="209" t="s">
        <v>118</v>
      </c>
      <c r="AI151" s="210" t="str">
        <f t="shared" si="99"/>
        <v>Fuerte</v>
      </c>
      <c r="AJ151" s="211" t="str">
        <f>IFERROR(VLOOKUP((CONCATENATE(AG151,AI151)),Listados!$U$3:$V$11,2,FALSE),"")</f>
        <v>Fuerte</v>
      </c>
      <c r="AK151" s="270">
        <f t="shared" si="100"/>
        <v>100</v>
      </c>
      <c r="AL151" s="446">
        <f>AVERAGE(AK151:AK156)</f>
        <v>100</v>
      </c>
      <c r="AM151" s="448" t="str">
        <f>IF(AL151&lt;=50, "Débil", IF(AL151&lt;=99,"Moderado","Fuerte"))</f>
        <v>Fuerte</v>
      </c>
      <c r="AN151" s="269">
        <f>+IF(AND(Q151="Preventivo",AM151="Fuerte"),2,IF(AND(Q151="Preventivo",AM151="Moderado"),1,0))</f>
        <v>2</v>
      </c>
      <c r="AO151" s="269">
        <f t="shared" si="101"/>
        <v>0</v>
      </c>
      <c r="AP151" s="212">
        <f>+K151-AN151</f>
        <v>0</v>
      </c>
      <c r="AQ151" s="212">
        <f>+M151-AO151</f>
        <v>2</v>
      </c>
      <c r="AR151" s="435" t="str">
        <f>+VLOOKUP(MIN(AP151,AP152,AP153,AP154,AP155,AP156),Listados!$J$18:$K$24,2,TRUE)</f>
        <v>Rara Vez</v>
      </c>
      <c r="AS151" s="435" t="str">
        <f>+VLOOKUP(MIN(AQ151,AQ152,AQ153,AQ154,AQ155,AQ156),Listados!$J$27:$K$32,2,TRUE)</f>
        <v>Menor</v>
      </c>
      <c r="AT151" s="435" t="str">
        <f>IF(AND(AR151&lt;&gt;"",AS151&lt;&gt;""),VLOOKUP(AR151&amp;AS151,Listados!$M$3:$N$27,2,FALSE),"")</f>
        <v>Bajo</v>
      </c>
      <c r="AU151" s="435" t="str">
        <f>+VLOOKUP(AT151,Listados!$P$3:$Q$6,2,FALSE)</f>
        <v>Asumir el riesgo</v>
      </c>
      <c r="AV151" s="585" t="s">
        <v>1125</v>
      </c>
      <c r="AW151" s="585" t="s">
        <v>1126</v>
      </c>
      <c r="AX151" s="586">
        <v>44927</v>
      </c>
      <c r="AY151" s="585" t="s">
        <v>1439</v>
      </c>
      <c r="AZ151" s="585" t="s">
        <v>1438</v>
      </c>
      <c r="BA151" s="585" t="s">
        <v>1127</v>
      </c>
      <c r="BB151" s="610" t="s">
        <v>1441</v>
      </c>
      <c r="BC151" s="585" t="s">
        <v>1602</v>
      </c>
      <c r="BD151" s="611"/>
      <c r="BE151" s="592" t="s">
        <v>1524</v>
      </c>
      <c r="BF151" s="585" t="s">
        <v>1779</v>
      </c>
      <c r="BG151" s="585"/>
    </row>
    <row r="152" spans="1:59" ht="182">
      <c r="A152" s="437"/>
      <c r="B152" s="439"/>
      <c r="C152" s="500"/>
      <c r="D152" s="502"/>
      <c r="E152" s="149"/>
      <c r="F152" s="149"/>
      <c r="G152" s="137" t="s">
        <v>353</v>
      </c>
      <c r="H152" s="137" t="s">
        <v>16</v>
      </c>
      <c r="I152" s="137" t="s">
        <v>212</v>
      </c>
      <c r="J152" s="495"/>
      <c r="K152" s="467"/>
      <c r="L152" s="478"/>
      <c r="M152" s="467"/>
      <c r="N152" s="497"/>
      <c r="O152" s="137" t="s">
        <v>354</v>
      </c>
      <c r="P152" s="137" t="s">
        <v>353</v>
      </c>
      <c r="Q152" s="151" t="s">
        <v>20</v>
      </c>
      <c r="R152" s="207" t="s">
        <v>116</v>
      </c>
      <c r="S152" s="208">
        <f t="shared" ref="S152" si="108">+IF(R152="si",15,"")</f>
        <v>15</v>
      </c>
      <c r="T152" s="207" t="s">
        <v>257</v>
      </c>
      <c r="U152" s="208">
        <f t="shared" ref="U152" si="109">+IF(T152="si",15,"")</f>
        <v>15</v>
      </c>
      <c r="V152" s="207" t="s">
        <v>257</v>
      </c>
      <c r="W152" s="208">
        <f t="shared" ref="W152" si="110">+IF(V152="si",15,"")</f>
        <v>15</v>
      </c>
      <c r="X152" s="207" t="s">
        <v>20</v>
      </c>
      <c r="Y152" s="208">
        <f t="shared" ref="Y152" si="111">+IF(X152="Preventivo",15,IF(X152="Detectivo",10,""))</f>
        <v>15</v>
      </c>
      <c r="Z152" s="207" t="s">
        <v>257</v>
      </c>
      <c r="AA152" s="208">
        <f t="shared" ref="AA152" si="112">+IF(Z152="si",15,"")</f>
        <v>15</v>
      </c>
      <c r="AB152" s="207" t="s">
        <v>257</v>
      </c>
      <c r="AC152" s="208">
        <f t="shared" ref="AC152" si="113">+IF(AB152="si",15,"")</f>
        <v>15</v>
      </c>
      <c r="AD152" s="207" t="s">
        <v>117</v>
      </c>
      <c r="AE152" s="208">
        <f t="shared" si="96"/>
        <v>10</v>
      </c>
      <c r="AF152" s="270">
        <f t="shared" si="97"/>
        <v>100</v>
      </c>
      <c r="AG152" s="270" t="str">
        <f t="shared" si="98"/>
        <v>Fuerte</v>
      </c>
      <c r="AH152" s="209" t="s">
        <v>118</v>
      </c>
      <c r="AI152" s="210" t="str">
        <f t="shared" si="99"/>
        <v>Fuerte</v>
      </c>
      <c r="AJ152" s="211" t="str">
        <f>IFERROR(VLOOKUP((CONCATENATE(AG152,AI152)),Listados!$U$3:$V$11,2,FALSE),"")</f>
        <v>Fuerte</v>
      </c>
      <c r="AK152" s="270">
        <f t="shared" si="100"/>
        <v>100</v>
      </c>
      <c r="AL152" s="447"/>
      <c r="AM152" s="449"/>
      <c r="AN152" s="269">
        <f>+IF(AND(Q152="Preventivo",AM151="Fuerte"),2,IF(AND(Q152="Preventivo",AM151="Moderado"),1,0))</f>
        <v>2</v>
      </c>
      <c r="AO152" s="269">
        <f t="shared" si="101"/>
        <v>0</v>
      </c>
      <c r="AP152" s="212">
        <f>+K151-AN152</f>
        <v>0</v>
      </c>
      <c r="AQ152" s="212">
        <f>+M151-AO152</f>
        <v>2</v>
      </c>
      <c r="AR152" s="433"/>
      <c r="AS152" s="433"/>
      <c r="AT152" s="433"/>
      <c r="AU152" s="433"/>
      <c r="AV152" s="562"/>
      <c r="AW152" s="562"/>
      <c r="AX152" s="562"/>
      <c r="AY152" s="562"/>
      <c r="AZ152" s="562"/>
      <c r="BA152" s="562"/>
      <c r="BB152" s="590"/>
      <c r="BC152" s="562"/>
      <c r="BD152" s="562"/>
      <c r="BE152" s="562"/>
      <c r="BF152" s="562"/>
      <c r="BG152" s="562"/>
    </row>
    <row r="153" spans="1:59" ht="42">
      <c r="A153" s="437"/>
      <c r="B153" s="439"/>
      <c r="C153" s="500"/>
      <c r="D153" s="502"/>
      <c r="E153" s="149"/>
      <c r="F153" s="149"/>
      <c r="G153" s="137" t="s">
        <v>346</v>
      </c>
      <c r="H153" s="137" t="s">
        <v>16</v>
      </c>
      <c r="I153" s="137" t="s">
        <v>355</v>
      </c>
      <c r="J153" s="495"/>
      <c r="K153" s="467"/>
      <c r="L153" s="478"/>
      <c r="M153" s="467"/>
      <c r="N153" s="497"/>
      <c r="O153" s="137"/>
      <c r="P153" s="137"/>
      <c r="Q153" s="151"/>
      <c r="R153" s="207"/>
      <c r="S153" s="208"/>
      <c r="T153" s="207"/>
      <c r="U153" s="208"/>
      <c r="V153" s="207"/>
      <c r="W153" s="208"/>
      <c r="X153" s="207"/>
      <c r="Y153" s="208"/>
      <c r="Z153" s="207"/>
      <c r="AA153" s="208"/>
      <c r="AB153" s="207"/>
      <c r="AC153" s="208"/>
      <c r="AD153" s="207"/>
      <c r="AE153" s="208" t="str">
        <f t="shared" si="96"/>
        <v/>
      </c>
      <c r="AF153" s="270" t="str">
        <f t="shared" si="97"/>
        <v/>
      </c>
      <c r="AG153" s="270" t="str">
        <f t="shared" si="98"/>
        <v/>
      </c>
      <c r="AH153" s="209"/>
      <c r="AI153" s="210" t="str">
        <f t="shared" si="99"/>
        <v>Débil</v>
      </c>
      <c r="AJ153" s="211" t="str">
        <f>IFERROR(VLOOKUP((CONCATENATE(AG153,AI153)),Listados!$U$3:$V$11,2,FALSE),"")</f>
        <v/>
      </c>
      <c r="AK153" s="270">
        <f t="shared" si="100"/>
        <v>100</v>
      </c>
      <c r="AL153" s="447"/>
      <c r="AM153" s="449"/>
      <c r="AN153" s="269">
        <f>+IF(AND(Q153="Preventivo",AM151="Fuerte"),2,IF(AND(Q153="Preventivo",AM151="Moderado"),1,0))</f>
        <v>0</v>
      </c>
      <c r="AO153" s="269">
        <f t="shared" si="101"/>
        <v>0</v>
      </c>
      <c r="AP153" s="212">
        <f>+K151-AN153</f>
        <v>2</v>
      </c>
      <c r="AQ153" s="212">
        <f>+M151-AO153</f>
        <v>2</v>
      </c>
      <c r="AR153" s="433"/>
      <c r="AS153" s="433"/>
      <c r="AT153" s="433"/>
      <c r="AU153" s="433"/>
      <c r="AV153" s="562"/>
      <c r="AW153" s="562"/>
      <c r="AX153" s="562"/>
      <c r="AY153" s="562"/>
      <c r="AZ153" s="562"/>
      <c r="BA153" s="562"/>
      <c r="BB153" s="590"/>
      <c r="BC153" s="562"/>
      <c r="BD153" s="562"/>
      <c r="BE153" s="562"/>
      <c r="BF153" s="562"/>
      <c r="BG153" s="562"/>
    </row>
    <row r="154" spans="1:59" ht="28">
      <c r="A154" s="437"/>
      <c r="B154" s="439"/>
      <c r="C154" s="500"/>
      <c r="D154" s="502"/>
      <c r="E154" s="149"/>
      <c r="F154" s="149"/>
      <c r="G154" s="137"/>
      <c r="H154" s="137"/>
      <c r="I154" s="137" t="s">
        <v>356</v>
      </c>
      <c r="J154" s="495"/>
      <c r="K154" s="467"/>
      <c r="L154" s="478"/>
      <c r="M154" s="467"/>
      <c r="N154" s="497"/>
      <c r="O154" s="149"/>
      <c r="P154" s="137"/>
      <c r="Q154" s="137"/>
      <c r="R154" s="231"/>
      <c r="S154" s="208" t="str">
        <f t="shared" si="90"/>
        <v/>
      </c>
      <c r="T154" s="231"/>
      <c r="U154" s="208" t="str">
        <f t="shared" si="91"/>
        <v/>
      </c>
      <c r="V154" s="207"/>
      <c r="W154" s="208" t="str">
        <f t="shared" si="92"/>
        <v/>
      </c>
      <c r="X154" s="207"/>
      <c r="Y154" s="208" t="str">
        <f t="shared" si="93"/>
        <v/>
      </c>
      <c r="Z154" s="207"/>
      <c r="AA154" s="208" t="str">
        <f t="shared" si="94"/>
        <v/>
      </c>
      <c r="AB154" s="207"/>
      <c r="AC154" s="208" t="str">
        <f t="shared" si="95"/>
        <v/>
      </c>
      <c r="AD154" s="207"/>
      <c r="AE154" s="208" t="str">
        <f t="shared" si="96"/>
        <v/>
      </c>
      <c r="AF154" s="270" t="str">
        <f t="shared" si="97"/>
        <v/>
      </c>
      <c r="AG154" s="270" t="str">
        <f t="shared" si="98"/>
        <v/>
      </c>
      <c r="AH154" s="209"/>
      <c r="AI154" s="210" t="str">
        <f t="shared" si="99"/>
        <v>Débil</v>
      </c>
      <c r="AJ154" s="211" t="str">
        <f>IFERROR(VLOOKUP((CONCATENATE(AG154,AI154)),Listados!$U$3:$V$11,2,FALSE),"")</f>
        <v/>
      </c>
      <c r="AK154" s="270">
        <f t="shared" si="100"/>
        <v>100</v>
      </c>
      <c r="AL154" s="447"/>
      <c r="AM154" s="449"/>
      <c r="AN154" s="269">
        <f>+IF(AND(Q154="Preventivo",AM151="Fuerte"),2,IF(AND(Q154="Preventivo",AM151="Moderado"),1,0))</f>
        <v>0</v>
      </c>
      <c r="AO154" s="269">
        <f t="shared" si="101"/>
        <v>0</v>
      </c>
      <c r="AP154" s="212">
        <f>+K151-AN154</f>
        <v>2</v>
      </c>
      <c r="AQ154" s="212">
        <f>+M151-AO154</f>
        <v>2</v>
      </c>
      <c r="AR154" s="433"/>
      <c r="AS154" s="433"/>
      <c r="AT154" s="433"/>
      <c r="AU154" s="433"/>
      <c r="AV154" s="562"/>
      <c r="AW154" s="562"/>
      <c r="AX154" s="562"/>
      <c r="AY154" s="562"/>
      <c r="AZ154" s="562"/>
      <c r="BA154" s="562"/>
      <c r="BB154" s="590"/>
      <c r="BC154" s="562"/>
      <c r="BD154" s="562"/>
      <c r="BE154" s="562"/>
      <c r="BF154" s="562"/>
      <c r="BG154" s="562"/>
    </row>
    <row r="155" spans="1:59" ht="14.15" customHeight="1">
      <c r="A155" s="437"/>
      <c r="B155" s="439"/>
      <c r="C155" s="500"/>
      <c r="D155" s="502"/>
      <c r="E155" s="149"/>
      <c r="F155" s="149"/>
      <c r="G155" s="137"/>
      <c r="H155" s="137"/>
      <c r="I155" s="137"/>
      <c r="J155" s="495"/>
      <c r="K155" s="467"/>
      <c r="L155" s="478"/>
      <c r="M155" s="467"/>
      <c r="N155" s="497"/>
      <c r="O155" s="149"/>
      <c r="P155" s="137"/>
      <c r="Q155" s="137"/>
      <c r="R155" s="231"/>
      <c r="S155" s="208" t="str">
        <f t="shared" si="90"/>
        <v/>
      </c>
      <c r="T155" s="231"/>
      <c r="U155" s="208" t="str">
        <f t="shared" si="91"/>
        <v/>
      </c>
      <c r="V155" s="207"/>
      <c r="W155" s="208" t="str">
        <f t="shared" si="92"/>
        <v/>
      </c>
      <c r="X155" s="207"/>
      <c r="Y155" s="208" t="str">
        <f t="shared" si="93"/>
        <v/>
      </c>
      <c r="Z155" s="207"/>
      <c r="AA155" s="208" t="str">
        <f t="shared" si="94"/>
        <v/>
      </c>
      <c r="AB155" s="207"/>
      <c r="AC155" s="208" t="str">
        <f t="shared" si="95"/>
        <v/>
      </c>
      <c r="AD155" s="207"/>
      <c r="AE155" s="208" t="str">
        <f t="shared" si="96"/>
        <v/>
      </c>
      <c r="AF155" s="270" t="str">
        <f t="shared" si="97"/>
        <v/>
      </c>
      <c r="AG155" s="270" t="str">
        <f t="shared" si="98"/>
        <v/>
      </c>
      <c r="AH155" s="209"/>
      <c r="AI155" s="210" t="str">
        <f t="shared" si="99"/>
        <v>Débil</v>
      </c>
      <c r="AJ155" s="211" t="str">
        <f>IFERROR(VLOOKUP((CONCATENATE(AG155,AI155)),Listados!$U$3:$V$11,2,FALSE),"")</f>
        <v/>
      </c>
      <c r="AK155" s="270">
        <f t="shared" si="100"/>
        <v>100</v>
      </c>
      <c r="AL155" s="447"/>
      <c r="AM155" s="449"/>
      <c r="AN155" s="269">
        <f>+IF(AND(Q155="Preventivo",AM151="Fuerte"),2,IF(AND(Q155="Preventivo",AM151="Moderado"),1,0))</f>
        <v>0</v>
      </c>
      <c r="AO155" s="269">
        <f t="shared" si="101"/>
        <v>0</v>
      </c>
      <c r="AP155" s="212">
        <f>+K151-AN155</f>
        <v>2</v>
      </c>
      <c r="AQ155" s="212">
        <f>+M151-AO155</f>
        <v>2</v>
      </c>
      <c r="AR155" s="433"/>
      <c r="AS155" s="433"/>
      <c r="AT155" s="433"/>
      <c r="AU155" s="433"/>
      <c r="AV155" s="562"/>
      <c r="AW155" s="562"/>
      <c r="AX155" s="562"/>
      <c r="AY155" s="562"/>
      <c r="AZ155" s="562"/>
      <c r="BA155" s="562"/>
      <c r="BB155" s="590"/>
      <c r="BC155" s="562"/>
      <c r="BD155" s="562"/>
      <c r="BE155" s="562"/>
      <c r="BF155" s="562"/>
      <c r="BG155" s="562"/>
    </row>
    <row r="156" spans="1:59" ht="14.5" customHeight="1" thickBot="1">
      <c r="A156" s="438"/>
      <c r="B156" s="439"/>
      <c r="C156" s="500"/>
      <c r="D156" s="502"/>
      <c r="E156" s="149"/>
      <c r="F156" s="149"/>
      <c r="G156" s="137"/>
      <c r="H156" s="137"/>
      <c r="I156" s="137"/>
      <c r="J156" s="495"/>
      <c r="K156" s="468"/>
      <c r="L156" s="478"/>
      <c r="M156" s="468"/>
      <c r="N156" s="497"/>
      <c r="O156" s="149"/>
      <c r="P156" s="137"/>
      <c r="Q156" s="137"/>
      <c r="R156" s="231"/>
      <c r="S156" s="208" t="str">
        <f t="shared" si="90"/>
        <v/>
      </c>
      <c r="T156" s="231"/>
      <c r="U156" s="208" t="str">
        <f t="shared" si="91"/>
        <v/>
      </c>
      <c r="V156" s="207"/>
      <c r="W156" s="208" t="str">
        <f t="shared" si="92"/>
        <v/>
      </c>
      <c r="X156" s="207"/>
      <c r="Y156" s="208" t="str">
        <f t="shared" si="93"/>
        <v/>
      </c>
      <c r="Z156" s="207"/>
      <c r="AA156" s="208" t="str">
        <f t="shared" si="94"/>
        <v/>
      </c>
      <c r="AB156" s="207"/>
      <c r="AC156" s="208" t="str">
        <f t="shared" si="95"/>
        <v/>
      </c>
      <c r="AD156" s="207"/>
      <c r="AE156" s="208" t="str">
        <f t="shared" si="96"/>
        <v/>
      </c>
      <c r="AF156" s="270" t="str">
        <f t="shared" si="97"/>
        <v/>
      </c>
      <c r="AG156" s="270" t="str">
        <f t="shared" si="98"/>
        <v/>
      </c>
      <c r="AH156" s="209"/>
      <c r="AI156" s="210" t="str">
        <f t="shared" si="99"/>
        <v>Débil</v>
      </c>
      <c r="AJ156" s="211" t="str">
        <f>IFERROR(VLOOKUP((CONCATENATE(AG156,AI156)),Listados!$U$3:$V$11,2,FALSE),"")</f>
        <v/>
      </c>
      <c r="AK156" s="270">
        <f t="shared" si="100"/>
        <v>100</v>
      </c>
      <c r="AL156" s="448"/>
      <c r="AM156" s="449"/>
      <c r="AN156" s="269">
        <f>+IF(AND(Q156="Preventivo",AM151="Fuerte"),2,IF(AND(Q156="Preventivo",AM151="Moderado"),1,0))</f>
        <v>0</v>
      </c>
      <c r="AO156" s="269">
        <f t="shared" si="101"/>
        <v>0</v>
      </c>
      <c r="AP156" s="212">
        <f>+K151-AN156</f>
        <v>2</v>
      </c>
      <c r="AQ156" s="212">
        <f>+M151-AO156</f>
        <v>2</v>
      </c>
      <c r="AR156" s="434"/>
      <c r="AS156" s="434"/>
      <c r="AT156" s="434"/>
      <c r="AU156" s="434"/>
      <c r="AV156" s="563"/>
      <c r="AW156" s="563"/>
      <c r="AX156" s="563"/>
      <c r="AY156" s="563"/>
      <c r="AZ156" s="563"/>
      <c r="BA156" s="563"/>
      <c r="BB156" s="591"/>
      <c r="BC156" s="563"/>
      <c r="BD156" s="563"/>
      <c r="BE156" s="563"/>
      <c r="BF156" s="563"/>
      <c r="BG156" s="563"/>
    </row>
    <row r="157" spans="1:59" ht="322">
      <c r="A157" s="436">
        <v>27</v>
      </c>
      <c r="B157" s="439" t="s">
        <v>68</v>
      </c>
      <c r="C157" s="500" t="s">
        <v>1701</v>
      </c>
      <c r="D157" s="502" t="s">
        <v>1690</v>
      </c>
      <c r="E157" s="423" t="s">
        <v>15</v>
      </c>
      <c r="F157" s="149" t="s">
        <v>278</v>
      </c>
      <c r="G157" s="245" t="s">
        <v>1693</v>
      </c>
      <c r="H157" s="137" t="s">
        <v>16</v>
      </c>
      <c r="I157" s="137" t="s">
        <v>299</v>
      </c>
      <c r="J157" s="495" t="s">
        <v>63</v>
      </c>
      <c r="K157" s="466">
        <f>+VLOOKUP(J157,Listados!$K$8:$L$12,2,0)</f>
        <v>5</v>
      </c>
      <c r="L157" s="477" t="s">
        <v>54</v>
      </c>
      <c r="M157" s="466">
        <f>+VLOOKUP(L157,Listados!$K$13:$L$17,2,0)</f>
        <v>4</v>
      </c>
      <c r="N157" s="496" t="str">
        <f>IF(AND(J157&lt;&gt;"",L157&lt;&gt;""),VLOOKUP(J157&amp;L157,Listados!$M$3:$N$27,2,FALSE),"")</f>
        <v>Extremo</v>
      </c>
      <c r="O157" s="229" t="s">
        <v>1691</v>
      </c>
      <c r="P157" s="245" t="s">
        <v>1693</v>
      </c>
      <c r="Q157" s="137" t="s">
        <v>20</v>
      </c>
      <c r="R157" s="207" t="s">
        <v>116</v>
      </c>
      <c r="S157" s="208">
        <f t="shared" ref="S157:S158" si="114">+IF(R157="si",15,"")</f>
        <v>15</v>
      </c>
      <c r="T157" s="207" t="s">
        <v>257</v>
      </c>
      <c r="U157" s="208">
        <f t="shared" ref="U157:U158" si="115">+IF(T157="si",15,"")</f>
        <v>15</v>
      </c>
      <c r="V157" s="207" t="s">
        <v>257</v>
      </c>
      <c r="W157" s="208">
        <f t="shared" ref="W157:W158" si="116">+IF(V157="si",15,"")</f>
        <v>15</v>
      </c>
      <c r="X157" s="207" t="s">
        <v>20</v>
      </c>
      <c r="Y157" s="208">
        <f t="shared" ref="Y157:Y158" si="117">+IF(X157="Preventivo",15,IF(X157="Detectivo",10,""))</f>
        <v>15</v>
      </c>
      <c r="Z157" s="207" t="s">
        <v>257</v>
      </c>
      <c r="AA157" s="208">
        <f t="shared" ref="AA157:AA158" si="118">+IF(Z157="si",15,"")</f>
        <v>15</v>
      </c>
      <c r="AB157" s="207" t="s">
        <v>257</v>
      </c>
      <c r="AC157" s="208">
        <f t="shared" ref="AC157:AC158" si="119">+IF(AB157="si",15,"")</f>
        <v>15</v>
      </c>
      <c r="AD157" s="207" t="s">
        <v>117</v>
      </c>
      <c r="AE157" s="208">
        <f t="shared" si="96"/>
        <v>10</v>
      </c>
      <c r="AF157" s="270">
        <f t="shared" si="97"/>
        <v>100</v>
      </c>
      <c r="AG157" s="270" t="str">
        <f t="shared" si="98"/>
        <v>Fuerte</v>
      </c>
      <c r="AH157" s="209" t="s">
        <v>118</v>
      </c>
      <c r="AI157" s="210" t="str">
        <f t="shared" si="99"/>
        <v>Fuerte</v>
      </c>
      <c r="AJ157" s="211" t="str">
        <f>IFERROR(VLOOKUP((CONCATENATE(AG157,AI157)),Listados!$U$3:$V$11,2,FALSE),"")</f>
        <v>Fuerte</v>
      </c>
      <c r="AK157" s="270">
        <f t="shared" si="100"/>
        <v>100</v>
      </c>
      <c r="AL157" s="446">
        <f>AVERAGE(AK157:AK162)</f>
        <v>100</v>
      </c>
      <c r="AM157" s="448" t="str">
        <f>IF(AL157&lt;=50, "Débil", IF(AL157&lt;=99,"Moderado","Fuerte"))</f>
        <v>Fuerte</v>
      </c>
      <c r="AN157" s="269">
        <f>+IF(AND(Q157="Preventivo",AM157="Fuerte"),2,IF(AND(Q157="Preventivo",AM157="Moderado"),1,0))</f>
        <v>2</v>
      </c>
      <c r="AO157" s="269">
        <f t="shared" si="101"/>
        <v>0</v>
      </c>
      <c r="AP157" s="212">
        <f>+K157-AN157</f>
        <v>3</v>
      </c>
      <c r="AQ157" s="212">
        <f>+M157-AO157</f>
        <v>4</v>
      </c>
      <c r="AR157" s="435" t="str">
        <f>+VLOOKUP(MIN(AP157,AP158,AP159,AP160,AP161,AP162),Listados!$J$18:$K$24,2,TRUE)</f>
        <v>Posible</v>
      </c>
      <c r="AS157" s="435" t="str">
        <f>+VLOOKUP(MIN(AQ157,AQ158,AQ159,AQ160,AQ161,AQ162),Listados!$J$27:$K$32,2,TRUE)</f>
        <v>Mayor</v>
      </c>
      <c r="AT157" s="435" t="str">
        <f>IF(AND(AR157&lt;&gt;"",AS157&lt;&gt;""),VLOOKUP(AR157&amp;AS157,Listados!$M$3:$N$27,2,FALSE),"")</f>
        <v>Extremo</v>
      </c>
      <c r="AU157" s="435" t="str">
        <f>+VLOOKUP(AT157,Listados!$P$3:$Q$6,2,FALSE)</f>
        <v>Evitar el riesgo</v>
      </c>
      <c r="AV157" s="407" t="s">
        <v>1696</v>
      </c>
      <c r="AW157" s="408" t="s">
        <v>1061</v>
      </c>
      <c r="AX157" s="409">
        <v>44927</v>
      </c>
      <c r="AY157" s="409">
        <v>44927</v>
      </c>
      <c r="AZ157" s="237" t="s">
        <v>1079</v>
      </c>
      <c r="BA157" s="237" t="s">
        <v>1694</v>
      </c>
      <c r="BB157" s="352" t="s">
        <v>1443</v>
      </c>
      <c r="BC157" s="410" t="s">
        <v>1698</v>
      </c>
      <c r="BD157" s="295"/>
      <c r="BE157" s="592" t="s">
        <v>1525</v>
      </c>
      <c r="BF157" s="585" t="s">
        <v>1780</v>
      </c>
      <c r="BG157" s="585"/>
    </row>
    <row r="158" spans="1:59" ht="196">
      <c r="A158" s="437"/>
      <c r="B158" s="439"/>
      <c r="C158" s="500"/>
      <c r="D158" s="502"/>
      <c r="E158" s="149"/>
      <c r="F158" s="149"/>
      <c r="G158" s="137" t="s">
        <v>357</v>
      </c>
      <c r="H158" s="137" t="s">
        <v>16</v>
      </c>
      <c r="I158" s="137" t="s">
        <v>358</v>
      </c>
      <c r="J158" s="495"/>
      <c r="K158" s="467"/>
      <c r="L158" s="478"/>
      <c r="M158" s="467"/>
      <c r="N158" s="497"/>
      <c r="O158" s="229" t="s">
        <v>1692</v>
      </c>
      <c r="P158" s="245" t="s">
        <v>357</v>
      </c>
      <c r="Q158" s="137" t="s">
        <v>20</v>
      </c>
      <c r="R158" s="207" t="s">
        <v>116</v>
      </c>
      <c r="S158" s="208">
        <f t="shared" si="114"/>
        <v>15</v>
      </c>
      <c r="T158" s="207" t="s">
        <v>257</v>
      </c>
      <c r="U158" s="208">
        <f t="shared" si="115"/>
        <v>15</v>
      </c>
      <c r="V158" s="207" t="s">
        <v>257</v>
      </c>
      <c r="W158" s="208">
        <f t="shared" si="116"/>
        <v>15</v>
      </c>
      <c r="X158" s="207" t="s">
        <v>20</v>
      </c>
      <c r="Y158" s="208">
        <f t="shared" si="117"/>
        <v>15</v>
      </c>
      <c r="Z158" s="207" t="s">
        <v>257</v>
      </c>
      <c r="AA158" s="208">
        <f t="shared" si="118"/>
        <v>15</v>
      </c>
      <c r="AB158" s="207" t="s">
        <v>257</v>
      </c>
      <c r="AC158" s="208">
        <f t="shared" si="119"/>
        <v>15</v>
      </c>
      <c r="AD158" s="207" t="s">
        <v>117</v>
      </c>
      <c r="AE158" s="208">
        <f t="shared" si="96"/>
        <v>10</v>
      </c>
      <c r="AF158" s="270">
        <f t="shared" si="97"/>
        <v>100</v>
      </c>
      <c r="AG158" s="270" t="str">
        <f t="shared" si="98"/>
        <v>Fuerte</v>
      </c>
      <c r="AH158" s="209" t="s">
        <v>118</v>
      </c>
      <c r="AI158" s="210" t="str">
        <f t="shared" si="99"/>
        <v>Fuerte</v>
      </c>
      <c r="AJ158" s="211" t="str">
        <f>IFERROR(VLOOKUP((CONCATENATE(AG158,AI158)),Listados!$U$3:$V$11,2,FALSE),"")</f>
        <v>Fuerte</v>
      </c>
      <c r="AK158" s="270">
        <f t="shared" si="100"/>
        <v>100</v>
      </c>
      <c r="AL158" s="447"/>
      <c r="AM158" s="449"/>
      <c r="AN158" s="269">
        <f>+IF(AND(Q158="Preventivo",AM157="Fuerte"),2,IF(AND(Q158="Preventivo",AM157="Moderado"),1,0))</f>
        <v>2</v>
      </c>
      <c r="AO158" s="269">
        <f t="shared" si="101"/>
        <v>0</v>
      </c>
      <c r="AP158" s="212">
        <f>+K157-AN158</f>
        <v>3</v>
      </c>
      <c r="AQ158" s="212">
        <f>+M157-AO158</f>
        <v>4</v>
      </c>
      <c r="AR158" s="433"/>
      <c r="AS158" s="433"/>
      <c r="AT158" s="433"/>
      <c r="AU158" s="433"/>
      <c r="AV158" s="699" t="s">
        <v>1697</v>
      </c>
      <c r="AW158" s="701" t="s">
        <v>1080</v>
      </c>
      <c r="AX158" s="703">
        <v>44927</v>
      </c>
      <c r="AY158" s="703">
        <v>44927</v>
      </c>
      <c r="AZ158" s="705" t="s">
        <v>1079</v>
      </c>
      <c r="BA158" s="705" t="s">
        <v>1695</v>
      </c>
      <c r="BB158" s="352" t="s">
        <v>1444</v>
      </c>
      <c r="BC158" s="706" t="s">
        <v>1699</v>
      </c>
      <c r="BD158" s="296"/>
      <c r="BE158" s="562"/>
      <c r="BF158" s="562"/>
      <c r="BG158" s="562"/>
    </row>
    <row r="159" spans="1:59" ht="28">
      <c r="A159" s="437"/>
      <c r="B159" s="439"/>
      <c r="C159" s="500"/>
      <c r="D159" s="502"/>
      <c r="E159" s="149"/>
      <c r="F159" s="149"/>
      <c r="G159" s="137"/>
      <c r="H159" s="137"/>
      <c r="I159" s="137" t="s">
        <v>359</v>
      </c>
      <c r="J159" s="495"/>
      <c r="K159" s="467"/>
      <c r="L159" s="478"/>
      <c r="M159" s="467"/>
      <c r="N159" s="497"/>
      <c r="O159" s="229"/>
      <c r="P159" s="149"/>
      <c r="Q159" s="137"/>
      <c r="R159" s="207"/>
      <c r="S159" s="208"/>
      <c r="T159" s="207"/>
      <c r="U159" s="208"/>
      <c r="V159" s="207"/>
      <c r="W159" s="208"/>
      <c r="X159" s="207"/>
      <c r="Y159" s="208" t="str">
        <f t="shared" ref="Y159:Y160" si="120">+IF(X159="Preventivo",15,IF(X159="Detectivo",10,""))</f>
        <v/>
      </c>
      <c r="Z159" s="207"/>
      <c r="AA159" s="208"/>
      <c r="AB159" s="207"/>
      <c r="AC159" s="208"/>
      <c r="AD159" s="207"/>
      <c r="AE159" s="208" t="str">
        <f t="shared" si="96"/>
        <v/>
      </c>
      <c r="AF159" s="270" t="str">
        <f t="shared" si="97"/>
        <v/>
      </c>
      <c r="AG159" s="270" t="str">
        <f t="shared" si="98"/>
        <v/>
      </c>
      <c r="AH159" s="209"/>
      <c r="AI159" s="210" t="str">
        <f t="shared" si="99"/>
        <v>Débil</v>
      </c>
      <c r="AJ159" s="211" t="str">
        <f>IFERROR(VLOOKUP((CONCATENATE(AG159,AI159)),Listados!$U$3:$V$11,2,FALSE),"")</f>
        <v/>
      </c>
      <c r="AK159" s="270">
        <f t="shared" si="100"/>
        <v>100</v>
      </c>
      <c r="AL159" s="447"/>
      <c r="AM159" s="449"/>
      <c r="AN159" s="269">
        <f>+IF(AND(Q159="Preventivo",AM157="Fuerte"),2,IF(AND(Q159="Preventivo",AM157="Moderado"),1,0))</f>
        <v>0</v>
      </c>
      <c r="AO159" s="269">
        <f t="shared" si="101"/>
        <v>0</v>
      </c>
      <c r="AP159" s="212">
        <f>+K157-AN159</f>
        <v>5</v>
      </c>
      <c r="AQ159" s="212">
        <f>+M157-AO159</f>
        <v>4</v>
      </c>
      <c r="AR159" s="433"/>
      <c r="AS159" s="433"/>
      <c r="AT159" s="433"/>
      <c r="AU159" s="433"/>
      <c r="AV159" s="700"/>
      <c r="AW159" s="702"/>
      <c r="AX159" s="704"/>
      <c r="AY159" s="704"/>
      <c r="AZ159" s="584"/>
      <c r="BA159" s="584"/>
      <c r="BB159" s="354"/>
      <c r="BC159" s="707"/>
      <c r="BD159" s="282"/>
      <c r="BE159" s="562"/>
      <c r="BF159" s="562"/>
      <c r="BG159" s="562"/>
    </row>
    <row r="160" spans="1:59" ht="14.15" customHeight="1">
      <c r="A160" s="437"/>
      <c r="B160" s="439"/>
      <c r="C160" s="500"/>
      <c r="D160" s="502"/>
      <c r="E160" s="149"/>
      <c r="F160" s="149"/>
      <c r="G160" s="137"/>
      <c r="H160" s="137"/>
      <c r="I160" s="137"/>
      <c r="J160" s="495"/>
      <c r="K160" s="467"/>
      <c r="L160" s="478"/>
      <c r="M160" s="467"/>
      <c r="N160" s="497"/>
      <c r="O160" s="137"/>
      <c r="P160" s="149"/>
      <c r="Q160" s="137"/>
      <c r="R160" s="207"/>
      <c r="S160" s="208"/>
      <c r="T160" s="207"/>
      <c r="U160" s="208"/>
      <c r="V160" s="207"/>
      <c r="W160" s="208"/>
      <c r="X160" s="207"/>
      <c r="Y160" s="208" t="str">
        <f t="shared" si="120"/>
        <v/>
      </c>
      <c r="Z160" s="207"/>
      <c r="AA160" s="208"/>
      <c r="AB160" s="207"/>
      <c r="AC160" s="208"/>
      <c r="AD160" s="207"/>
      <c r="AE160" s="208" t="str">
        <f t="shared" si="96"/>
        <v/>
      </c>
      <c r="AF160" s="270" t="str">
        <f t="shared" si="97"/>
        <v/>
      </c>
      <c r="AG160" s="270" t="str">
        <f t="shared" si="98"/>
        <v/>
      </c>
      <c r="AH160" s="209"/>
      <c r="AI160" s="210" t="str">
        <f t="shared" si="99"/>
        <v>Débil</v>
      </c>
      <c r="AJ160" s="211" t="str">
        <f>IFERROR(VLOOKUP((CONCATENATE(AG160,AI160)),Listados!$U$3:$V$11,2,FALSE),"")</f>
        <v/>
      </c>
      <c r="AK160" s="270">
        <f t="shared" si="100"/>
        <v>100</v>
      </c>
      <c r="AL160" s="447"/>
      <c r="AM160" s="449"/>
      <c r="AN160" s="269">
        <f>+IF(AND(Q160="Preventivo",AM157="Fuerte"),2,IF(AND(Q160="Preventivo",AM157="Moderado"),1,0))</f>
        <v>0</v>
      </c>
      <c r="AO160" s="269">
        <f t="shared" si="101"/>
        <v>0</v>
      </c>
      <c r="AP160" s="212">
        <f>+K157-AN160</f>
        <v>5</v>
      </c>
      <c r="AQ160" s="212">
        <f>+M157-AO160</f>
        <v>4</v>
      </c>
      <c r="AR160" s="433"/>
      <c r="AS160" s="433"/>
      <c r="AT160" s="433"/>
      <c r="AU160" s="433"/>
      <c r="AV160" s="201"/>
      <c r="AW160" s="201"/>
      <c r="AX160" s="201"/>
      <c r="AY160" s="201"/>
      <c r="AZ160" s="201"/>
      <c r="BA160" s="201"/>
      <c r="BB160" s="354"/>
      <c r="BC160" s="282"/>
      <c r="BD160" s="282"/>
      <c r="BE160" s="562"/>
      <c r="BF160" s="562"/>
      <c r="BG160" s="562"/>
    </row>
    <row r="161" spans="1:59" ht="14.15" customHeight="1">
      <c r="A161" s="437"/>
      <c r="B161" s="439"/>
      <c r="C161" s="500"/>
      <c r="D161" s="502"/>
      <c r="E161" s="149"/>
      <c r="F161" s="149"/>
      <c r="G161" s="137"/>
      <c r="H161" s="137"/>
      <c r="I161" s="137"/>
      <c r="J161" s="495"/>
      <c r="K161" s="467"/>
      <c r="L161" s="478"/>
      <c r="M161" s="467"/>
      <c r="N161" s="497"/>
      <c r="O161" s="149"/>
      <c r="P161" s="137"/>
      <c r="Q161" s="137"/>
      <c r="R161" s="231"/>
      <c r="S161" s="208" t="str">
        <f t="shared" si="90"/>
        <v/>
      </c>
      <c r="T161" s="231"/>
      <c r="U161" s="208" t="str">
        <f t="shared" si="91"/>
        <v/>
      </c>
      <c r="V161" s="207"/>
      <c r="W161" s="208" t="str">
        <f t="shared" si="92"/>
        <v/>
      </c>
      <c r="X161" s="207"/>
      <c r="Y161" s="208" t="str">
        <f t="shared" si="93"/>
        <v/>
      </c>
      <c r="Z161" s="207"/>
      <c r="AA161" s="208" t="str">
        <f t="shared" si="94"/>
        <v/>
      </c>
      <c r="AB161" s="207"/>
      <c r="AC161" s="208" t="str">
        <f t="shared" si="95"/>
        <v/>
      </c>
      <c r="AD161" s="207"/>
      <c r="AE161" s="208" t="str">
        <f t="shared" si="96"/>
        <v/>
      </c>
      <c r="AF161" s="270" t="str">
        <f t="shared" si="97"/>
        <v/>
      </c>
      <c r="AG161" s="270" t="str">
        <f t="shared" si="98"/>
        <v/>
      </c>
      <c r="AH161" s="209"/>
      <c r="AI161" s="210" t="str">
        <f t="shared" si="99"/>
        <v>Débil</v>
      </c>
      <c r="AJ161" s="211" t="str">
        <f>IFERROR(VLOOKUP((CONCATENATE(AG161,AI161)),Listados!$U$3:$V$11,2,FALSE),"")</f>
        <v/>
      </c>
      <c r="AK161" s="270">
        <f t="shared" si="100"/>
        <v>100</v>
      </c>
      <c r="AL161" s="447"/>
      <c r="AM161" s="449"/>
      <c r="AN161" s="269">
        <f>+IF(AND(Q161="Preventivo",AM157="Fuerte"),2,IF(AND(Q161="Preventivo",AM157="Moderado"),1,0))</f>
        <v>0</v>
      </c>
      <c r="AO161" s="269">
        <f t="shared" si="101"/>
        <v>0</v>
      </c>
      <c r="AP161" s="212">
        <f>+K157-AN161</f>
        <v>5</v>
      </c>
      <c r="AQ161" s="212">
        <f>+M157-AO161</f>
        <v>4</v>
      </c>
      <c r="AR161" s="433"/>
      <c r="AS161" s="433"/>
      <c r="AT161" s="433"/>
      <c r="AU161" s="433"/>
      <c r="AV161" s="201"/>
      <c r="AW161" s="201"/>
      <c r="AX161" s="201"/>
      <c r="AY161" s="201"/>
      <c r="AZ161" s="201"/>
      <c r="BA161" s="201"/>
      <c r="BB161" s="354"/>
      <c r="BC161" s="282"/>
      <c r="BD161" s="282"/>
      <c r="BE161" s="562"/>
      <c r="BF161" s="562"/>
      <c r="BG161" s="562"/>
    </row>
    <row r="162" spans="1:59" ht="14.5" customHeight="1" thickBot="1">
      <c r="A162" s="438"/>
      <c r="B162" s="439"/>
      <c r="C162" s="500"/>
      <c r="D162" s="502"/>
      <c r="E162" s="149"/>
      <c r="F162" s="149"/>
      <c r="G162" s="137"/>
      <c r="H162" s="137"/>
      <c r="I162" s="137"/>
      <c r="J162" s="495"/>
      <c r="K162" s="468"/>
      <c r="L162" s="478"/>
      <c r="M162" s="468"/>
      <c r="N162" s="497"/>
      <c r="O162" s="149"/>
      <c r="P162" s="137"/>
      <c r="Q162" s="137"/>
      <c r="R162" s="231"/>
      <c r="S162" s="208" t="str">
        <f t="shared" si="90"/>
        <v/>
      </c>
      <c r="T162" s="231"/>
      <c r="U162" s="208" t="str">
        <f t="shared" si="91"/>
        <v/>
      </c>
      <c r="V162" s="207"/>
      <c r="W162" s="208" t="str">
        <f t="shared" si="92"/>
        <v/>
      </c>
      <c r="X162" s="207"/>
      <c r="Y162" s="208" t="str">
        <f t="shared" si="93"/>
        <v/>
      </c>
      <c r="Z162" s="207"/>
      <c r="AA162" s="208" t="str">
        <f t="shared" si="94"/>
        <v/>
      </c>
      <c r="AB162" s="207"/>
      <c r="AC162" s="208" t="str">
        <f t="shared" si="95"/>
        <v/>
      </c>
      <c r="AD162" s="207"/>
      <c r="AE162" s="208" t="str">
        <f t="shared" si="96"/>
        <v/>
      </c>
      <c r="AF162" s="270" t="str">
        <f t="shared" si="97"/>
        <v/>
      </c>
      <c r="AG162" s="270" t="str">
        <f t="shared" si="98"/>
        <v/>
      </c>
      <c r="AH162" s="209"/>
      <c r="AI162" s="210" t="str">
        <f t="shared" si="99"/>
        <v>Débil</v>
      </c>
      <c r="AJ162" s="211" t="str">
        <f>IFERROR(VLOOKUP((CONCATENATE(AG162,AI162)),Listados!$U$3:$V$11,2,FALSE),"")</f>
        <v/>
      </c>
      <c r="AK162" s="270">
        <f t="shared" si="100"/>
        <v>100</v>
      </c>
      <c r="AL162" s="448"/>
      <c r="AM162" s="449"/>
      <c r="AN162" s="269">
        <f>+IF(AND(Q162="Preventivo",AM157="Fuerte"),2,IF(AND(Q162="Preventivo",AM157="Moderado"),1,0))</f>
        <v>0</v>
      </c>
      <c r="AO162" s="269">
        <f t="shared" si="101"/>
        <v>0</v>
      </c>
      <c r="AP162" s="212">
        <f>+K157-AN162</f>
        <v>5</v>
      </c>
      <c r="AQ162" s="212">
        <f>+M157-AO162</f>
        <v>4</v>
      </c>
      <c r="AR162" s="434"/>
      <c r="AS162" s="434"/>
      <c r="AT162" s="434"/>
      <c r="AU162" s="434"/>
      <c r="AV162" s="201"/>
      <c r="AW162" s="201"/>
      <c r="AX162" s="201"/>
      <c r="AY162" s="201"/>
      <c r="AZ162" s="201"/>
      <c r="BA162" s="201"/>
      <c r="BB162" s="354"/>
      <c r="BC162" s="282"/>
      <c r="BD162" s="282"/>
      <c r="BE162" s="563"/>
      <c r="BF162" s="563"/>
      <c r="BG162" s="563"/>
    </row>
    <row r="163" spans="1:59" ht="227.25" customHeight="1">
      <c r="A163" s="436">
        <v>28</v>
      </c>
      <c r="B163" s="439" t="s">
        <v>68</v>
      </c>
      <c r="C163" s="500" t="s">
        <v>1701</v>
      </c>
      <c r="D163" s="502" t="s">
        <v>1700</v>
      </c>
      <c r="E163" s="423" t="s">
        <v>15</v>
      </c>
      <c r="F163" s="149" t="s">
        <v>278</v>
      </c>
      <c r="G163" s="137" t="s">
        <v>360</v>
      </c>
      <c r="H163" s="137" t="s">
        <v>30</v>
      </c>
      <c r="I163" s="137" t="s">
        <v>361</v>
      </c>
      <c r="J163" s="495" t="s">
        <v>63</v>
      </c>
      <c r="K163" s="466">
        <f>+VLOOKUP(J163,Listados!$K$8:$L$12,2,0)</f>
        <v>5</v>
      </c>
      <c r="L163" s="477" t="s">
        <v>54</v>
      </c>
      <c r="M163" s="466">
        <f>+VLOOKUP(L163,Listados!$K$13:$L$17,2,0)</f>
        <v>4</v>
      </c>
      <c r="N163" s="496" t="str">
        <f>IF(AND(J163&lt;&gt;"",L163&lt;&gt;""),VLOOKUP(J163&amp;L163,Listados!$M$3:$N$27,2,FALSE),"")</f>
        <v>Extremo</v>
      </c>
      <c r="O163" s="229" t="s">
        <v>1703</v>
      </c>
      <c r="P163" s="229" t="s">
        <v>1704</v>
      </c>
      <c r="Q163" s="137" t="s">
        <v>20</v>
      </c>
      <c r="R163" s="207" t="s">
        <v>116</v>
      </c>
      <c r="S163" s="208">
        <f t="shared" ref="S163:S164" si="121">+IF(R163="si",15,"")</f>
        <v>15</v>
      </c>
      <c r="T163" s="207" t="s">
        <v>257</v>
      </c>
      <c r="U163" s="208">
        <f t="shared" ref="U163:U164" si="122">+IF(T163="si",15,"")</f>
        <v>15</v>
      </c>
      <c r="V163" s="207" t="s">
        <v>257</v>
      </c>
      <c r="W163" s="208">
        <f t="shared" ref="W163:W164" si="123">+IF(V163="si",15,"")</f>
        <v>15</v>
      </c>
      <c r="X163" s="207" t="s">
        <v>20</v>
      </c>
      <c r="Y163" s="208">
        <f t="shared" ref="Y163:Y164" si="124">+IF(X163="Preventivo",15,IF(X163="Detectivo",10,""))</f>
        <v>15</v>
      </c>
      <c r="Z163" s="207" t="s">
        <v>257</v>
      </c>
      <c r="AA163" s="208">
        <f t="shared" ref="AA163:AA164" si="125">+IF(Z163="si",15,"")</f>
        <v>15</v>
      </c>
      <c r="AB163" s="207" t="s">
        <v>257</v>
      </c>
      <c r="AC163" s="208">
        <f t="shared" ref="AC163:AC164" si="126">+IF(AB163="si",15,"")</f>
        <v>15</v>
      </c>
      <c r="AD163" s="207" t="s">
        <v>117</v>
      </c>
      <c r="AE163" s="208">
        <f t="shared" si="96"/>
        <v>10</v>
      </c>
      <c r="AF163" s="270">
        <f t="shared" si="97"/>
        <v>100</v>
      </c>
      <c r="AG163" s="270" t="str">
        <f t="shared" si="98"/>
        <v>Fuerte</v>
      </c>
      <c r="AH163" s="209" t="s">
        <v>118</v>
      </c>
      <c r="AI163" s="210" t="str">
        <f t="shared" si="99"/>
        <v>Fuerte</v>
      </c>
      <c r="AJ163" s="211" t="str">
        <f>IFERROR(VLOOKUP((CONCATENATE(AG163,AI163)),Listados!$U$3:$V$11,2,FALSE),"")</f>
        <v>Fuerte</v>
      </c>
      <c r="AK163" s="270">
        <f t="shared" si="100"/>
        <v>100</v>
      </c>
      <c r="AL163" s="446">
        <f>AVERAGE(AK163:AK168)</f>
        <v>100</v>
      </c>
      <c r="AM163" s="448" t="str">
        <f>IF(AL163&lt;=50, "Débil", IF(AL163&lt;=99,"Moderado","Fuerte"))</f>
        <v>Fuerte</v>
      </c>
      <c r="AN163" s="269">
        <f>+IF(AND(Q163="Preventivo",AM163="Fuerte"),2,IF(AND(Q163="Preventivo",AM163="Moderado"),1,0))</f>
        <v>2</v>
      </c>
      <c r="AO163" s="269">
        <f t="shared" si="101"/>
        <v>0</v>
      </c>
      <c r="AP163" s="212">
        <f>+K163-AN163</f>
        <v>3</v>
      </c>
      <c r="AQ163" s="212">
        <f>+M163-AO163</f>
        <v>4</v>
      </c>
      <c r="AR163" s="435" t="str">
        <f>+VLOOKUP(MIN(AP163,AP164,AP165,AP166,AP167,AP168),Listados!$J$18:$K$24,2,TRUE)</f>
        <v>Posible</v>
      </c>
      <c r="AS163" s="435" t="str">
        <f>+VLOOKUP(MIN(AQ163,AQ164,AQ165,AQ166,AQ167,AQ168),Listados!$J$27:$K$32,2,TRUE)</f>
        <v>Mayor</v>
      </c>
      <c r="AT163" s="435" t="str">
        <f>IF(AND(AR163&lt;&gt;"",AS163&lt;&gt;""),VLOOKUP(AR163&amp;AS163,Listados!$M$3:$N$27,2,FALSE),"")</f>
        <v>Extremo</v>
      </c>
      <c r="AU163" s="435" t="str">
        <f>+VLOOKUP(AT163,Listados!$P$3:$Q$6,2,FALSE)</f>
        <v>Evitar el riesgo</v>
      </c>
      <c r="AV163" s="234" t="s">
        <v>1707</v>
      </c>
      <c r="AW163" s="234" t="s">
        <v>1061</v>
      </c>
      <c r="AX163" s="241">
        <v>44927</v>
      </c>
      <c r="AY163" s="241">
        <v>45291</v>
      </c>
      <c r="AZ163" s="234" t="s">
        <v>1081</v>
      </c>
      <c r="BA163" s="238" t="s">
        <v>1442</v>
      </c>
      <c r="BB163" s="615" t="s">
        <v>1445</v>
      </c>
      <c r="BC163" s="410" t="s">
        <v>1710</v>
      </c>
      <c r="BD163" s="296"/>
      <c r="BE163" s="542" t="s">
        <v>1526</v>
      </c>
      <c r="BF163" s="585" t="s">
        <v>1780</v>
      </c>
      <c r="BG163" s="585"/>
    </row>
    <row r="164" spans="1:59" ht="182">
      <c r="A164" s="437"/>
      <c r="B164" s="439"/>
      <c r="C164" s="500"/>
      <c r="D164" s="502"/>
      <c r="E164" s="149"/>
      <c r="F164" s="149"/>
      <c r="G164" s="406" t="s">
        <v>1702</v>
      </c>
      <c r="H164" s="137" t="s">
        <v>16</v>
      </c>
      <c r="I164" s="137" t="s">
        <v>358</v>
      </c>
      <c r="J164" s="495"/>
      <c r="K164" s="467"/>
      <c r="L164" s="478"/>
      <c r="M164" s="467"/>
      <c r="N164" s="497"/>
      <c r="O164" s="229" t="s">
        <v>1705</v>
      </c>
      <c r="P164" s="229" t="s">
        <v>1706</v>
      </c>
      <c r="Q164" s="137"/>
      <c r="R164" s="207" t="s">
        <v>116</v>
      </c>
      <c r="S164" s="208">
        <f t="shared" si="121"/>
        <v>15</v>
      </c>
      <c r="T164" s="207" t="s">
        <v>257</v>
      </c>
      <c r="U164" s="208">
        <f t="shared" si="122"/>
        <v>15</v>
      </c>
      <c r="V164" s="207" t="s">
        <v>257</v>
      </c>
      <c r="W164" s="208">
        <f t="shared" si="123"/>
        <v>15</v>
      </c>
      <c r="X164" s="207" t="s">
        <v>20</v>
      </c>
      <c r="Y164" s="208">
        <f t="shared" si="124"/>
        <v>15</v>
      </c>
      <c r="Z164" s="207" t="s">
        <v>257</v>
      </c>
      <c r="AA164" s="208">
        <f t="shared" si="125"/>
        <v>15</v>
      </c>
      <c r="AB164" s="207" t="s">
        <v>257</v>
      </c>
      <c r="AC164" s="208">
        <f t="shared" si="126"/>
        <v>15</v>
      </c>
      <c r="AD164" s="207" t="s">
        <v>117</v>
      </c>
      <c r="AE164" s="208">
        <f t="shared" si="96"/>
        <v>10</v>
      </c>
      <c r="AF164" s="270">
        <f t="shared" si="97"/>
        <v>100</v>
      </c>
      <c r="AG164" s="270" t="str">
        <f t="shared" si="98"/>
        <v>Fuerte</v>
      </c>
      <c r="AH164" s="209" t="s">
        <v>118</v>
      </c>
      <c r="AI164" s="210" t="str">
        <f t="shared" si="99"/>
        <v>Fuerte</v>
      </c>
      <c r="AJ164" s="211" t="str">
        <f>IFERROR(VLOOKUP((CONCATENATE(AG164,AI164)),Listados!$U$3:$V$11,2,FALSE),"")</f>
        <v>Fuerte</v>
      </c>
      <c r="AK164" s="270">
        <f t="shared" si="100"/>
        <v>100</v>
      </c>
      <c r="AL164" s="447"/>
      <c r="AM164" s="449"/>
      <c r="AN164" s="269">
        <f>+IF(AND(Q164="Preventivo",AM163="Fuerte"),2,IF(AND(Q164="Preventivo",AM163="Moderado"),1,0))</f>
        <v>0</v>
      </c>
      <c r="AO164" s="269">
        <f t="shared" si="101"/>
        <v>0</v>
      </c>
      <c r="AP164" s="212">
        <f>+K163-AN164</f>
        <v>5</v>
      </c>
      <c r="AQ164" s="212">
        <f>+M163-AO164</f>
        <v>4</v>
      </c>
      <c r="AR164" s="433"/>
      <c r="AS164" s="433"/>
      <c r="AT164" s="433"/>
      <c r="AU164" s="433"/>
      <c r="AV164" s="234" t="s">
        <v>1708</v>
      </c>
      <c r="AW164" s="234" t="s">
        <v>1061</v>
      </c>
      <c r="AX164" s="241">
        <v>44927</v>
      </c>
      <c r="AY164" s="241">
        <v>45291</v>
      </c>
      <c r="AZ164" s="234" t="s">
        <v>1081</v>
      </c>
      <c r="BA164" s="238" t="s">
        <v>1709</v>
      </c>
      <c r="BB164" s="538"/>
      <c r="BC164" s="410" t="s">
        <v>1711</v>
      </c>
      <c r="BD164" s="296"/>
      <c r="BE164" s="543"/>
      <c r="BF164" s="562"/>
      <c r="BG164" s="562"/>
    </row>
    <row r="165" spans="1:59" ht="28">
      <c r="A165" s="437"/>
      <c r="B165" s="439"/>
      <c r="C165" s="500"/>
      <c r="D165" s="502"/>
      <c r="E165" s="149"/>
      <c r="F165" s="149"/>
      <c r="G165" s="137"/>
      <c r="H165" s="137"/>
      <c r="I165" s="137" t="s">
        <v>359</v>
      </c>
      <c r="J165" s="495"/>
      <c r="K165" s="467"/>
      <c r="L165" s="478"/>
      <c r="M165" s="467"/>
      <c r="N165" s="497"/>
      <c r="O165" s="149"/>
      <c r="P165" s="137"/>
      <c r="Q165" s="137"/>
      <c r="R165" s="231"/>
      <c r="S165" s="208" t="str">
        <f t="shared" si="90"/>
        <v/>
      </c>
      <c r="T165" s="231"/>
      <c r="U165" s="208" t="str">
        <f t="shared" si="91"/>
        <v/>
      </c>
      <c r="V165" s="207"/>
      <c r="W165" s="208" t="str">
        <f t="shared" si="92"/>
        <v/>
      </c>
      <c r="X165" s="207"/>
      <c r="Y165" s="208" t="str">
        <f t="shared" si="93"/>
        <v/>
      </c>
      <c r="Z165" s="207"/>
      <c r="AA165" s="208" t="str">
        <f t="shared" si="94"/>
        <v/>
      </c>
      <c r="AB165" s="207"/>
      <c r="AC165" s="208" t="str">
        <f t="shared" si="95"/>
        <v/>
      </c>
      <c r="AD165" s="207"/>
      <c r="AE165" s="208" t="str">
        <f t="shared" si="96"/>
        <v/>
      </c>
      <c r="AF165" s="270" t="str">
        <f t="shared" si="97"/>
        <v/>
      </c>
      <c r="AG165" s="270" t="str">
        <f t="shared" si="98"/>
        <v/>
      </c>
      <c r="AH165" s="209"/>
      <c r="AI165" s="210" t="str">
        <f t="shared" si="99"/>
        <v>Débil</v>
      </c>
      <c r="AJ165" s="211" t="str">
        <f>IFERROR(VLOOKUP((CONCATENATE(AG165,AI165)),Listados!$U$3:$V$11,2,FALSE),"")</f>
        <v/>
      </c>
      <c r="AK165" s="270">
        <f t="shared" si="100"/>
        <v>100</v>
      </c>
      <c r="AL165" s="447"/>
      <c r="AM165" s="449"/>
      <c r="AN165" s="269">
        <f>+IF(AND(Q165="Preventivo",AM163="Fuerte"),2,IF(AND(Q165="Preventivo",AM163="Moderado"),1,0))</f>
        <v>0</v>
      </c>
      <c r="AO165" s="269">
        <f t="shared" si="101"/>
        <v>0</v>
      </c>
      <c r="AP165" s="212">
        <f>+K163-AN165</f>
        <v>5</v>
      </c>
      <c r="AQ165" s="212">
        <f>+M163-AO165</f>
        <v>4</v>
      </c>
      <c r="AR165" s="433"/>
      <c r="AS165" s="433"/>
      <c r="AT165" s="433"/>
      <c r="AU165" s="433"/>
      <c r="AV165" s="201"/>
      <c r="AW165" s="201"/>
      <c r="AX165" s="201"/>
      <c r="AY165" s="201"/>
      <c r="AZ165" s="201"/>
      <c r="BA165" s="201"/>
      <c r="BB165" s="354"/>
      <c r="BC165" s="282"/>
      <c r="BD165" s="282"/>
      <c r="BE165" s="543"/>
      <c r="BF165" s="562"/>
      <c r="BG165" s="562"/>
    </row>
    <row r="166" spans="1:59" ht="14.15" customHeight="1">
      <c r="A166" s="437"/>
      <c r="B166" s="439"/>
      <c r="C166" s="500"/>
      <c r="D166" s="502"/>
      <c r="E166" s="149"/>
      <c r="F166" s="149"/>
      <c r="G166" s="137"/>
      <c r="H166" s="137"/>
      <c r="I166" s="137"/>
      <c r="J166" s="495"/>
      <c r="K166" s="467"/>
      <c r="L166" s="478"/>
      <c r="M166" s="467"/>
      <c r="N166" s="497"/>
      <c r="O166" s="149"/>
      <c r="P166" s="137"/>
      <c r="Q166" s="137"/>
      <c r="R166" s="231"/>
      <c r="S166" s="208" t="str">
        <f t="shared" si="90"/>
        <v/>
      </c>
      <c r="T166" s="231"/>
      <c r="U166" s="208" t="str">
        <f t="shared" si="91"/>
        <v/>
      </c>
      <c r="V166" s="207"/>
      <c r="W166" s="208" t="str">
        <f t="shared" si="92"/>
        <v/>
      </c>
      <c r="X166" s="207"/>
      <c r="Y166" s="208" t="str">
        <f t="shared" si="93"/>
        <v/>
      </c>
      <c r="Z166" s="207"/>
      <c r="AA166" s="208" t="str">
        <f t="shared" si="94"/>
        <v/>
      </c>
      <c r="AB166" s="207"/>
      <c r="AC166" s="208" t="str">
        <f t="shared" si="95"/>
        <v/>
      </c>
      <c r="AD166" s="207"/>
      <c r="AE166" s="208" t="str">
        <f t="shared" si="96"/>
        <v/>
      </c>
      <c r="AF166" s="270" t="str">
        <f t="shared" si="97"/>
        <v/>
      </c>
      <c r="AG166" s="270" t="str">
        <f t="shared" si="98"/>
        <v/>
      </c>
      <c r="AH166" s="209"/>
      <c r="AI166" s="210" t="str">
        <f t="shared" si="99"/>
        <v>Débil</v>
      </c>
      <c r="AJ166" s="211" t="str">
        <f>IFERROR(VLOOKUP((CONCATENATE(AG166,AI166)),Listados!$U$3:$V$11,2,FALSE),"")</f>
        <v/>
      </c>
      <c r="AK166" s="270">
        <f t="shared" si="100"/>
        <v>100</v>
      </c>
      <c r="AL166" s="447"/>
      <c r="AM166" s="449"/>
      <c r="AN166" s="269">
        <f>+IF(AND(Q166="Preventivo",AM163="Fuerte"),2,IF(AND(Q166="Preventivo",AM163="Moderado"),1,0))</f>
        <v>0</v>
      </c>
      <c r="AO166" s="269">
        <f t="shared" si="101"/>
        <v>0</v>
      </c>
      <c r="AP166" s="212">
        <f>+K163-AN166</f>
        <v>5</v>
      </c>
      <c r="AQ166" s="212">
        <f>+M163-AO166</f>
        <v>4</v>
      </c>
      <c r="AR166" s="433"/>
      <c r="AS166" s="433"/>
      <c r="AT166" s="433"/>
      <c r="AU166" s="433"/>
      <c r="AV166" s="201"/>
      <c r="AW166" s="201"/>
      <c r="AX166" s="201"/>
      <c r="AY166" s="201"/>
      <c r="AZ166" s="201"/>
      <c r="BA166" s="201"/>
      <c r="BB166" s="354"/>
      <c r="BC166" s="282"/>
      <c r="BD166" s="282"/>
      <c r="BE166" s="543"/>
      <c r="BF166" s="562"/>
      <c r="BG166" s="562"/>
    </row>
    <row r="167" spans="1:59" ht="14.15" customHeight="1">
      <c r="A167" s="437"/>
      <c r="B167" s="439"/>
      <c r="C167" s="500"/>
      <c r="D167" s="502"/>
      <c r="E167" s="149"/>
      <c r="F167" s="149"/>
      <c r="G167" s="137"/>
      <c r="H167" s="137"/>
      <c r="I167" s="137"/>
      <c r="J167" s="495"/>
      <c r="K167" s="467"/>
      <c r="L167" s="478"/>
      <c r="M167" s="467"/>
      <c r="N167" s="497"/>
      <c r="O167" s="149"/>
      <c r="P167" s="137"/>
      <c r="Q167" s="137"/>
      <c r="R167" s="231"/>
      <c r="S167" s="208" t="str">
        <f t="shared" si="90"/>
        <v/>
      </c>
      <c r="T167" s="231"/>
      <c r="U167" s="208" t="str">
        <f t="shared" si="91"/>
        <v/>
      </c>
      <c r="V167" s="207"/>
      <c r="W167" s="208" t="str">
        <f t="shared" si="92"/>
        <v/>
      </c>
      <c r="X167" s="207"/>
      <c r="Y167" s="208" t="str">
        <f t="shared" si="93"/>
        <v/>
      </c>
      <c r="Z167" s="207"/>
      <c r="AA167" s="208" t="str">
        <f t="shared" si="94"/>
        <v/>
      </c>
      <c r="AB167" s="207"/>
      <c r="AC167" s="208" t="str">
        <f t="shared" si="95"/>
        <v/>
      </c>
      <c r="AD167" s="207"/>
      <c r="AE167" s="208" t="str">
        <f t="shared" si="96"/>
        <v/>
      </c>
      <c r="AF167" s="270" t="str">
        <f t="shared" si="97"/>
        <v/>
      </c>
      <c r="AG167" s="270" t="str">
        <f t="shared" si="98"/>
        <v/>
      </c>
      <c r="AH167" s="209"/>
      <c r="AI167" s="210" t="str">
        <f t="shared" si="99"/>
        <v>Débil</v>
      </c>
      <c r="AJ167" s="211" t="str">
        <f>IFERROR(VLOOKUP((CONCATENATE(AG167,AI167)),Listados!$U$3:$V$11,2,FALSE),"")</f>
        <v/>
      </c>
      <c r="AK167" s="270">
        <f t="shared" si="100"/>
        <v>100</v>
      </c>
      <c r="AL167" s="447"/>
      <c r="AM167" s="449"/>
      <c r="AN167" s="269">
        <f>+IF(AND(Q167="Preventivo",AM163="Fuerte"),2,IF(AND(Q167="Preventivo",AM163="Moderado"),1,0))</f>
        <v>0</v>
      </c>
      <c r="AO167" s="269">
        <f t="shared" si="101"/>
        <v>0</v>
      </c>
      <c r="AP167" s="212">
        <f>+K163-AN167</f>
        <v>5</v>
      </c>
      <c r="AQ167" s="212">
        <f>+M163-AO167</f>
        <v>4</v>
      </c>
      <c r="AR167" s="433"/>
      <c r="AS167" s="433"/>
      <c r="AT167" s="433"/>
      <c r="AU167" s="433"/>
      <c r="AV167" s="201"/>
      <c r="AW167" s="201"/>
      <c r="AX167" s="201"/>
      <c r="AY167" s="201"/>
      <c r="AZ167" s="201"/>
      <c r="BA167" s="201"/>
      <c r="BB167" s="354"/>
      <c r="BC167" s="282"/>
      <c r="BD167" s="282"/>
      <c r="BE167" s="543"/>
      <c r="BF167" s="562"/>
      <c r="BG167" s="562"/>
    </row>
    <row r="168" spans="1:59" ht="14.5" customHeight="1" thickBot="1">
      <c r="A168" s="438"/>
      <c r="B168" s="439"/>
      <c r="C168" s="500"/>
      <c r="D168" s="502"/>
      <c r="E168" s="149"/>
      <c r="F168" s="149"/>
      <c r="G168" s="137"/>
      <c r="H168" s="137"/>
      <c r="I168" s="137"/>
      <c r="J168" s="495"/>
      <c r="K168" s="468"/>
      <c r="L168" s="478"/>
      <c r="M168" s="468"/>
      <c r="N168" s="497"/>
      <c r="O168" s="149"/>
      <c r="P168" s="137"/>
      <c r="Q168" s="137"/>
      <c r="R168" s="231"/>
      <c r="S168" s="208" t="str">
        <f t="shared" si="90"/>
        <v/>
      </c>
      <c r="T168" s="231"/>
      <c r="U168" s="208" t="str">
        <f t="shared" si="91"/>
        <v/>
      </c>
      <c r="V168" s="207"/>
      <c r="W168" s="208" t="str">
        <f t="shared" si="92"/>
        <v/>
      </c>
      <c r="X168" s="207"/>
      <c r="Y168" s="208" t="str">
        <f t="shared" si="93"/>
        <v/>
      </c>
      <c r="Z168" s="207"/>
      <c r="AA168" s="208" t="str">
        <f t="shared" si="94"/>
        <v/>
      </c>
      <c r="AB168" s="207"/>
      <c r="AC168" s="208" t="str">
        <f t="shared" si="95"/>
        <v/>
      </c>
      <c r="AD168" s="207"/>
      <c r="AE168" s="208" t="str">
        <f t="shared" si="96"/>
        <v/>
      </c>
      <c r="AF168" s="270" t="str">
        <f t="shared" si="97"/>
        <v/>
      </c>
      <c r="AG168" s="270" t="str">
        <f t="shared" si="98"/>
        <v/>
      </c>
      <c r="AH168" s="209"/>
      <c r="AI168" s="210" t="str">
        <f t="shared" si="99"/>
        <v>Débil</v>
      </c>
      <c r="AJ168" s="211" t="str">
        <f>IFERROR(VLOOKUP((CONCATENATE(AG168,AI168)),Listados!$U$3:$V$11,2,FALSE),"")</f>
        <v/>
      </c>
      <c r="AK168" s="270">
        <f t="shared" si="100"/>
        <v>100</v>
      </c>
      <c r="AL168" s="448"/>
      <c r="AM168" s="449"/>
      <c r="AN168" s="269">
        <f>+IF(AND(Q168="Preventivo",AM163="Fuerte"),2,IF(AND(Q168="Preventivo",AM163="Moderado"),1,0))</f>
        <v>0</v>
      </c>
      <c r="AO168" s="269">
        <f t="shared" si="101"/>
        <v>0</v>
      </c>
      <c r="AP168" s="212">
        <f>+K163-AN168</f>
        <v>5</v>
      </c>
      <c r="AQ168" s="212">
        <f>+M163-AO168</f>
        <v>4</v>
      </c>
      <c r="AR168" s="434"/>
      <c r="AS168" s="434"/>
      <c r="AT168" s="434"/>
      <c r="AU168" s="434"/>
      <c r="AV168" s="201"/>
      <c r="AW168" s="201"/>
      <c r="AX168" s="201"/>
      <c r="AY168" s="201"/>
      <c r="AZ168" s="201"/>
      <c r="BA168" s="201"/>
      <c r="BB168" s="354"/>
      <c r="BC168" s="282"/>
      <c r="BD168" s="282"/>
      <c r="BE168" s="544"/>
      <c r="BF168" s="563"/>
      <c r="BG168" s="563"/>
    </row>
    <row r="169" spans="1:59" ht="145">
      <c r="A169" s="436">
        <v>29</v>
      </c>
      <c r="B169" s="439" t="s">
        <v>68</v>
      </c>
      <c r="C169" s="500" t="str">
        <f>IFERROR(VLOOKUP(B169,Listados!B$3:C$20,2,FALSE),"")</f>
        <v>Gestión contra la Criminalidad y la Reincidencia</v>
      </c>
      <c r="D169" s="502" t="s">
        <v>1761</v>
      </c>
      <c r="E169" s="424" t="s">
        <v>15</v>
      </c>
      <c r="F169" s="149" t="s">
        <v>278</v>
      </c>
      <c r="G169" s="137" t="s">
        <v>1758</v>
      </c>
      <c r="H169" s="137" t="s">
        <v>16</v>
      </c>
      <c r="I169" s="137" t="s">
        <v>1759</v>
      </c>
      <c r="J169" s="495" t="s">
        <v>31</v>
      </c>
      <c r="K169" s="466">
        <f>+VLOOKUP(J169,Listados!$K$8:$L$12,2,0)</f>
        <v>2</v>
      </c>
      <c r="L169" s="477" t="s">
        <v>36</v>
      </c>
      <c r="M169" s="466">
        <f>+VLOOKUP(L169,Listados!$K$13:$L$17,2,0)</f>
        <v>3</v>
      </c>
      <c r="N169" s="496" t="str">
        <f>IF(AND(J169&lt;&gt;"",L169&lt;&gt;""),VLOOKUP(J169&amp;L169,Listados!$M$3:$N$27,2,FALSE),"")</f>
        <v>Moderado</v>
      </c>
      <c r="O169" s="229" t="s">
        <v>363</v>
      </c>
      <c r="P169" s="229" t="s">
        <v>362</v>
      </c>
      <c r="Q169" s="137" t="s">
        <v>20</v>
      </c>
      <c r="R169" s="207" t="s">
        <v>116</v>
      </c>
      <c r="S169" s="208">
        <f t="shared" ref="S169:S170" si="127">+IF(R169="si",15,"")</f>
        <v>15</v>
      </c>
      <c r="T169" s="207" t="s">
        <v>257</v>
      </c>
      <c r="U169" s="208">
        <f t="shared" ref="U169:U170" si="128">+IF(T169="si",15,"")</f>
        <v>15</v>
      </c>
      <c r="V169" s="207" t="s">
        <v>257</v>
      </c>
      <c r="W169" s="208">
        <f t="shared" ref="W169:W170" si="129">+IF(V169="si",15,"")</f>
        <v>15</v>
      </c>
      <c r="X169" s="207" t="s">
        <v>20</v>
      </c>
      <c r="Y169" s="208">
        <f t="shared" ref="Y169:Y170" si="130">+IF(X169="Preventivo",15,IF(X169="Detectivo",10,""))</f>
        <v>15</v>
      </c>
      <c r="Z169" s="207" t="s">
        <v>257</v>
      </c>
      <c r="AA169" s="208">
        <f t="shared" ref="AA169:AA170" si="131">+IF(Z169="si",15,"")</f>
        <v>15</v>
      </c>
      <c r="AB169" s="207" t="s">
        <v>257</v>
      </c>
      <c r="AC169" s="208">
        <f t="shared" ref="AC169:AC170" si="132">+IF(AB169="si",15,"")</f>
        <v>15</v>
      </c>
      <c r="AD169" s="207" t="s">
        <v>117</v>
      </c>
      <c r="AE169" s="208">
        <f t="shared" si="96"/>
        <v>10</v>
      </c>
      <c r="AF169" s="270">
        <f t="shared" si="97"/>
        <v>100</v>
      </c>
      <c r="AG169" s="270" t="str">
        <f t="shared" si="98"/>
        <v>Fuerte</v>
      </c>
      <c r="AH169" s="209" t="s">
        <v>118</v>
      </c>
      <c r="AI169" s="210" t="str">
        <f t="shared" si="99"/>
        <v>Fuerte</v>
      </c>
      <c r="AJ169" s="211" t="str">
        <f>IFERROR(VLOOKUP((CONCATENATE(AG169,AI169)),Listados!$U$3:$V$11,2,FALSE),"")</f>
        <v>Fuerte</v>
      </c>
      <c r="AK169" s="270">
        <f t="shared" si="100"/>
        <v>100</v>
      </c>
      <c r="AL169" s="446">
        <f>AVERAGE(AK169:AK174)</f>
        <v>100</v>
      </c>
      <c r="AM169" s="448" t="str">
        <f>IF(AL169&lt;=50, "Débil", IF(AL169&lt;=99,"Moderado","Fuerte"))</f>
        <v>Fuerte</v>
      </c>
      <c r="AN169" s="269">
        <f>+IF(AND(Q169="Preventivo",AM169="Fuerte"),2,IF(AND(Q169="Preventivo",AM169="Moderado"),1,0))</f>
        <v>2</v>
      </c>
      <c r="AO169" s="269">
        <f t="shared" si="101"/>
        <v>0</v>
      </c>
      <c r="AP169" s="212">
        <f>+K169-AN169</f>
        <v>0</v>
      </c>
      <c r="AQ169" s="212">
        <f>+M169-AO169</f>
        <v>3</v>
      </c>
      <c r="AR169" s="435" t="str">
        <f>+VLOOKUP(MIN(AP169,AP170,AP171,AP172,AP173,AP174),Listados!$J$18:$K$24,2,TRUE)</f>
        <v>Rara Vez</v>
      </c>
      <c r="AS169" s="435" t="str">
        <f>+VLOOKUP(MIN(AQ169,AQ170,AQ171,AQ172,AQ173,AQ174),Listados!$J$27:$K$32,2,TRUE)</f>
        <v>Moderado</v>
      </c>
      <c r="AT169" s="435" t="str">
        <f>IF(AND(AR169&lt;&gt;"",AS169&lt;&gt;""),VLOOKUP(AR169&amp;AS169,Listados!$M$3:$N$27,2,FALSE),"")</f>
        <v>Moderado</v>
      </c>
      <c r="AU169" s="435" t="str">
        <f>+VLOOKUP(AT169,Listados!$P$3:$Q$6,2,FALSE)</f>
        <v xml:space="preserve"> Reducir el riesgo</v>
      </c>
      <c r="AV169" s="234" t="s">
        <v>1762</v>
      </c>
      <c r="AW169" s="234" t="s">
        <v>1082</v>
      </c>
      <c r="AX169" s="241">
        <v>44927</v>
      </c>
      <c r="AY169" s="241">
        <v>45291</v>
      </c>
      <c r="AZ169" s="234" t="s">
        <v>1047</v>
      </c>
      <c r="BA169" s="238" t="s">
        <v>1499</v>
      </c>
      <c r="BB169" s="352" t="s">
        <v>1500</v>
      </c>
      <c r="BC169" s="199" t="s">
        <v>1775</v>
      </c>
      <c r="BD169" s="202"/>
      <c r="BE169" s="542" t="s">
        <v>1527</v>
      </c>
      <c r="BF169" s="585" t="s">
        <v>1781</v>
      </c>
      <c r="BG169" s="585"/>
    </row>
    <row r="170" spans="1:59" ht="116">
      <c r="A170" s="437"/>
      <c r="B170" s="439"/>
      <c r="C170" s="500"/>
      <c r="D170" s="502"/>
      <c r="E170" s="149"/>
      <c r="F170" s="149"/>
      <c r="G170" s="137" t="s">
        <v>1042</v>
      </c>
      <c r="H170" s="137" t="s">
        <v>30</v>
      </c>
      <c r="I170" s="137" t="s">
        <v>1760</v>
      </c>
      <c r="J170" s="495"/>
      <c r="K170" s="467"/>
      <c r="L170" s="478"/>
      <c r="M170" s="467"/>
      <c r="N170" s="497"/>
      <c r="O170" s="229" t="s">
        <v>1043</v>
      </c>
      <c r="P170" s="229" t="s">
        <v>1042</v>
      </c>
      <c r="Q170" s="137" t="s">
        <v>20</v>
      </c>
      <c r="R170" s="207" t="s">
        <v>116</v>
      </c>
      <c r="S170" s="208">
        <f t="shared" si="127"/>
        <v>15</v>
      </c>
      <c r="T170" s="207" t="s">
        <v>257</v>
      </c>
      <c r="U170" s="208">
        <f t="shared" si="128"/>
        <v>15</v>
      </c>
      <c r="V170" s="207" t="s">
        <v>257</v>
      </c>
      <c r="W170" s="208">
        <f t="shared" si="129"/>
        <v>15</v>
      </c>
      <c r="X170" s="207" t="s">
        <v>20</v>
      </c>
      <c r="Y170" s="208">
        <f t="shared" si="130"/>
        <v>15</v>
      </c>
      <c r="Z170" s="207" t="s">
        <v>257</v>
      </c>
      <c r="AA170" s="208">
        <f t="shared" si="131"/>
        <v>15</v>
      </c>
      <c r="AB170" s="207" t="s">
        <v>257</v>
      </c>
      <c r="AC170" s="208">
        <f t="shared" si="132"/>
        <v>15</v>
      </c>
      <c r="AD170" s="207" t="s">
        <v>117</v>
      </c>
      <c r="AE170" s="208">
        <f t="shared" si="96"/>
        <v>10</v>
      </c>
      <c r="AF170" s="270">
        <f t="shared" si="97"/>
        <v>100</v>
      </c>
      <c r="AG170" s="270" t="str">
        <f t="shared" si="98"/>
        <v>Fuerte</v>
      </c>
      <c r="AH170" s="209" t="s">
        <v>118</v>
      </c>
      <c r="AI170" s="210" t="str">
        <f t="shared" si="99"/>
        <v>Fuerte</v>
      </c>
      <c r="AJ170" s="211" t="str">
        <f>IFERROR(VLOOKUP((CONCATENATE(AG170,AI170)),Listados!$U$3:$V$11,2,FALSE),"")</f>
        <v>Fuerte</v>
      </c>
      <c r="AK170" s="270">
        <f t="shared" si="100"/>
        <v>100</v>
      </c>
      <c r="AL170" s="447"/>
      <c r="AM170" s="449"/>
      <c r="AN170" s="269">
        <f>+IF(AND(Q170="Preventivo",AM169="Fuerte"),2,IF(AND(Q170="Preventivo",AM169="Moderado"),1,0))</f>
        <v>2</v>
      </c>
      <c r="AO170" s="269">
        <f t="shared" si="101"/>
        <v>0</v>
      </c>
      <c r="AP170" s="212">
        <f>+K169-AN170</f>
        <v>0</v>
      </c>
      <c r="AQ170" s="212">
        <f>+M169-AO170</f>
        <v>3</v>
      </c>
      <c r="AR170" s="433"/>
      <c r="AS170" s="433"/>
      <c r="AT170" s="433"/>
      <c r="AU170" s="433"/>
      <c r="AV170" s="234" t="s">
        <v>1044</v>
      </c>
      <c r="AW170" s="234" t="s">
        <v>1045</v>
      </c>
      <c r="AX170" s="241">
        <v>44927</v>
      </c>
      <c r="AY170" s="241">
        <v>45291</v>
      </c>
      <c r="AZ170" s="234" t="s">
        <v>1047</v>
      </c>
      <c r="BA170" s="238" t="s">
        <v>1501</v>
      </c>
      <c r="BB170" s="352" t="s">
        <v>1502</v>
      </c>
      <c r="BC170" s="616" t="s">
        <v>1776</v>
      </c>
      <c r="BD170" s="202"/>
      <c r="BE170" s="543"/>
      <c r="BF170" s="562"/>
      <c r="BG170" s="562"/>
    </row>
    <row r="171" spans="1:59" ht="14.15" customHeight="1">
      <c r="A171" s="437"/>
      <c r="B171" s="439"/>
      <c r="C171" s="500"/>
      <c r="D171" s="502"/>
      <c r="E171" s="149"/>
      <c r="F171" s="149"/>
      <c r="G171" s="137"/>
      <c r="H171" s="137"/>
      <c r="I171" s="137"/>
      <c r="J171" s="495"/>
      <c r="K171" s="467"/>
      <c r="L171" s="478"/>
      <c r="M171" s="467"/>
      <c r="N171" s="497"/>
      <c r="O171" s="149"/>
      <c r="P171" s="137"/>
      <c r="Q171" s="137"/>
      <c r="R171" s="231"/>
      <c r="S171" s="208" t="str">
        <f t="shared" si="90"/>
        <v/>
      </c>
      <c r="T171" s="231"/>
      <c r="U171" s="208" t="str">
        <f t="shared" si="91"/>
        <v/>
      </c>
      <c r="V171" s="207"/>
      <c r="W171" s="208" t="str">
        <f t="shared" si="92"/>
        <v/>
      </c>
      <c r="X171" s="207"/>
      <c r="Y171" s="208" t="str">
        <f t="shared" si="93"/>
        <v/>
      </c>
      <c r="Z171" s="207"/>
      <c r="AA171" s="208" t="str">
        <f t="shared" si="94"/>
        <v/>
      </c>
      <c r="AB171" s="207"/>
      <c r="AC171" s="208" t="str">
        <f t="shared" si="95"/>
        <v/>
      </c>
      <c r="AD171" s="207"/>
      <c r="AE171" s="208" t="str">
        <f t="shared" si="96"/>
        <v/>
      </c>
      <c r="AF171" s="270" t="str">
        <f t="shared" si="97"/>
        <v/>
      </c>
      <c r="AG171" s="270" t="str">
        <f t="shared" si="98"/>
        <v/>
      </c>
      <c r="AH171" s="209"/>
      <c r="AI171" s="210" t="str">
        <f t="shared" si="99"/>
        <v>Débil</v>
      </c>
      <c r="AJ171" s="211" t="str">
        <f>IFERROR(VLOOKUP((CONCATENATE(AG171,AI171)),Listados!$U$3:$V$11,2,FALSE),"")</f>
        <v/>
      </c>
      <c r="AK171" s="270">
        <f t="shared" si="100"/>
        <v>100</v>
      </c>
      <c r="AL171" s="447"/>
      <c r="AM171" s="449"/>
      <c r="AN171" s="269">
        <f>+IF(AND(Q171="Preventivo",AM169="Fuerte"),2,IF(AND(Q171="Preventivo",AM169="Moderado"),1,0))</f>
        <v>0</v>
      </c>
      <c r="AO171" s="269">
        <f t="shared" si="101"/>
        <v>0</v>
      </c>
      <c r="AP171" s="212">
        <f>+K169-AN171</f>
        <v>2</v>
      </c>
      <c r="AQ171" s="212">
        <f>+M169-AO171</f>
        <v>3</v>
      </c>
      <c r="AR171" s="433"/>
      <c r="AS171" s="433"/>
      <c r="AT171" s="433"/>
      <c r="AU171" s="433"/>
      <c r="AV171" s="201"/>
      <c r="AW171" s="201"/>
      <c r="AX171" s="201"/>
      <c r="AY171" s="201"/>
      <c r="AZ171" s="201"/>
      <c r="BA171" s="201"/>
      <c r="BB171" s="354"/>
      <c r="BC171" s="616"/>
      <c r="BD171" s="282"/>
      <c r="BE171" s="543"/>
      <c r="BF171" s="562"/>
      <c r="BG171" s="562"/>
    </row>
    <row r="172" spans="1:59" ht="14.15" customHeight="1">
      <c r="A172" s="437"/>
      <c r="B172" s="439"/>
      <c r="C172" s="500"/>
      <c r="D172" s="502"/>
      <c r="E172" s="149"/>
      <c r="F172" s="149"/>
      <c r="G172" s="137"/>
      <c r="H172" s="137"/>
      <c r="I172" s="137"/>
      <c r="J172" s="495"/>
      <c r="K172" s="467"/>
      <c r="L172" s="478"/>
      <c r="M172" s="467"/>
      <c r="N172" s="497"/>
      <c r="O172" s="149"/>
      <c r="P172" s="137"/>
      <c r="Q172" s="137"/>
      <c r="R172" s="231"/>
      <c r="S172" s="208" t="str">
        <f t="shared" si="90"/>
        <v/>
      </c>
      <c r="T172" s="231"/>
      <c r="U172" s="208" t="str">
        <f t="shared" si="91"/>
        <v/>
      </c>
      <c r="V172" s="207"/>
      <c r="W172" s="208" t="str">
        <f t="shared" si="92"/>
        <v/>
      </c>
      <c r="X172" s="207"/>
      <c r="Y172" s="208" t="str">
        <f t="shared" si="93"/>
        <v/>
      </c>
      <c r="Z172" s="207"/>
      <c r="AA172" s="208" t="str">
        <f t="shared" si="94"/>
        <v/>
      </c>
      <c r="AB172" s="207"/>
      <c r="AC172" s="208" t="str">
        <f t="shared" si="95"/>
        <v/>
      </c>
      <c r="AD172" s="207"/>
      <c r="AE172" s="208" t="str">
        <f t="shared" si="96"/>
        <v/>
      </c>
      <c r="AF172" s="270" t="str">
        <f t="shared" si="97"/>
        <v/>
      </c>
      <c r="AG172" s="270" t="str">
        <f t="shared" si="98"/>
        <v/>
      </c>
      <c r="AH172" s="209"/>
      <c r="AI172" s="210" t="str">
        <f t="shared" si="99"/>
        <v>Débil</v>
      </c>
      <c r="AJ172" s="211" t="str">
        <f>IFERROR(VLOOKUP((CONCATENATE(AG172,AI172)),Listados!$U$3:$V$11,2,FALSE),"")</f>
        <v/>
      </c>
      <c r="AK172" s="270">
        <f t="shared" si="100"/>
        <v>100</v>
      </c>
      <c r="AL172" s="447"/>
      <c r="AM172" s="449"/>
      <c r="AN172" s="269">
        <f>+IF(AND(Q172="Preventivo",AM169="Fuerte"),2,IF(AND(Q172="Preventivo",AM169="Moderado"),1,0))</f>
        <v>0</v>
      </c>
      <c r="AO172" s="269">
        <f t="shared" si="101"/>
        <v>0</v>
      </c>
      <c r="AP172" s="212">
        <f>+K169-AN172</f>
        <v>2</v>
      </c>
      <c r="AQ172" s="212">
        <f>+M169-AO172</f>
        <v>3</v>
      </c>
      <c r="AR172" s="433"/>
      <c r="AS172" s="433"/>
      <c r="AT172" s="433"/>
      <c r="AU172" s="433"/>
      <c r="AV172" s="201"/>
      <c r="AW172" s="201"/>
      <c r="AX172" s="201"/>
      <c r="AY172" s="201"/>
      <c r="AZ172" s="201"/>
      <c r="BA172" s="201"/>
      <c r="BB172" s="354"/>
      <c r="BC172" s="616"/>
      <c r="BD172" s="282"/>
      <c r="BE172" s="543"/>
      <c r="BF172" s="562"/>
      <c r="BG172" s="562"/>
    </row>
    <row r="173" spans="1:59" ht="14.15" customHeight="1">
      <c r="A173" s="437"/>
      <c r="B173" s="439"/>
      <c r="C173" s="500"/>
      <c r="D173" s="502"/>
      <c r="E173" s="149"/>
      <c r="F173" s="149"/>
      <c r="G173" s="137"/>
      <c r="H173" s="137"/>
      <c r="I173" s="137"/>
      <c r="J173" s="495"/>
      <c r="K173" s="467"/>
      <c r="L173" s="478"/>
      <c r="M173" s="467"/>
      <c r="N173" s="497"/>
      <c r="O173" s="149"/>
      <c r="P173" s="137"/>
      <c r="Q173" s="137"/>
      <c r="R173" s="231"/>
      <c r="S173" s="208" t="str">
        <f t="shared" si="90"/>
        <v/>
      </c>
      <c r="T173" s="231"/>
      <c r="U173" s="208" t="str">
        <f t="shared" si="91"/>
        <v/>
      </c>
      <c r="V173" s="207"/>
      <c r="W173" s="208" t="str">
        <f t="shared" si="92"/>
        <v/>
      </c>
      <c r="X173" s="207"/>
      <c r="Y173" s="208" t="str">
        <f t="shared" si="93"/>
        <v/>
      </c>
      <c r="Z173" s="207"/>
      <c r="AA173" s="208" t="str">
        <f t="shared" si="94"/>
        <v/>
      </c>
      <c r="AB173" s="207"/>
      <c r="AC173" s="208" t="str">
        <f t="shared" si="95"/>
        <v/>
      </c>
      <c r="AD173" s="207"/>
      <c r="AE173" s="208" t="str">
        <f t="shared" si="96"/>
        <v/>
      </c>
      <c r="AF173" s="270" t="str">
        <f t="shared" si="97"/>
        <v/>
      </c>
      <c r="AG173" s="270" t="str">
        <f t="shared" si="98"/>
        <v/>
      </c>
      <c r="AH173" s="209"/>
      <c r="AI173" s="210" t="str">
        <f t="shared" si="99"/>
        <v>Débil</v>
      </c>
      <c r="AJ173" s="211" t="str">
        <f>IFERROR(VLOOKUP((CONCATENATE(AG173,AI173)),Listados!$U$3:$V$11,2,FALSE),"")</f>
        <v/>
      </c>
      <c r="AK173" s="270">
        <f t="shared" si="100"/>
        <v>100</v>
      </c>
      <c r="AL173" s="447"/>
      <c r="AM173" s="449"/>
      <c r="AN173" s="269">
        <f>+IF(AND(Q173="Preventivo",AM169="Fuerte"),2,IF(AND(Q173="Preventivo",AM169="Moderado"),1,0))</f>
        <v>0</v>
      </c>
      <c r="AO173" s="269">
        <f t="shared" si="101"/>
        <v>0</v>
      </c>
      <c r="AP173" s="212">
        <f>+K169-AN173</f>
        <v>2</v>
      </c>
      <c r="AQ173" s="212">
        <f>+M169-AO173</f>
        <v>3</v>
      </c>
      <c r="AR173" s="433"/>
      <c r="AS173" s="433"/>
      <c r="AT173" s="433"/>
      <c r="AU173" s="433"/>
      <c r="AV173" s="201"/>
      <c r="AW173" s="201"/>
      <c r="AX173" s="201"/>
      <c r="AY173" s="201"/>
      <c r="AZ173" s="201"/>
      <c r="BA173" s="201"/>
      <c r="BB173" s="354"/>
      <c r="BC173" s="616"/>
      <c r="BD173" s="282"/>
      <c r="BE173" s="543"/>
      <c r="BF173" s="562"/>
      <c r="BG173" s="562"/>
    </row>
    <row r="174" spans="1:59" ht="14.5" customHeight="1" thickBot="1">
      <c r="A174" s="438"/>
      <c r="B174" s="439"/>
      <c r="C174" s="500"/>
      <c r="D174" s="502"/>
      <c r="E174" s="149"/>
      <c r="F174" s="149"/>
      <c r="G174" s="137"/>
      <c r="H174" s="137"/>
      <c r="I174" s="137"/>
      <c r="J174" s="495"/>
      <c r="K174" s="468"/>
      <c r="L174" s="478"/>
      <c r="M174" s="468"/>
      <c r="N174" s="497"/>
      <c r="O174" s="149"/>
      <c r="P174" s="137"/>
      <c r="Q174" s="137"/>
      <c r="R174" s="231"/>
      <c r="S174" s="208" t="str">
        <f t="shared" si="90"/>
        <v/>
      </c>
      <c r="T174" s="231"/>
      <c r="U174" s="208" t="str">
        <f t="shared" si="91"/>
        <v/>
      </c>
      <c r="V174" s="207"/>
      <c r="W174" s="208" t="str">
        <f t="shared" si="92"/>
        <v/>
      </c>
      <c r="X174" s="207"/>
      <c r="Y174" s="208" t="str">
        <f t="shared" si="93"/>
        <v/>
      </c>
      <c r="Z174" s="207"/>
      <c r="AA174" s="208" t="str">
        <f t="shared" si="94"/>
        <v/>
      </c>
      <c r="AB174" s="207"/>
      <c r="AC174" s="208" t="str">
        <f t="shared" si="95"/>
        <v/>
      </c>
      <c r="AD174" s="207"/>
      <c r="AE174" s="208" t="str">
        <f t="shared" si="96"/>
        <v/>
      </c>
      <c r="AF174" s="270" t="str">
        <f t="shared" si="97"/>
        <v/>
      </c>
      <c r="AG174" s="270" t="str">
        <f t="shared" si="98"/>
        <v/>
      </c>
      <c r="AH174" s="209"/>
      <c r="AI174" s="210" t="str">
        <f t="shared" si="99"/>
        <v>Débil</v>
      </c>
      <c r="AJ174" s="211" t="str">
        <f>IFERROR(VLOOKUP((CONCATENATE(AG174,AI174)),Listados!$U$3:$V$11,2,FALSE),"")</f>
        <v/>
      </c>
      <c r="AK174" s="270">
        <f t="shared" si="100"/>
        <v>100</v>
      </c>
      <c r="AL174" s="448"/>
      <c r="AM174" s="449"/>
      <c r="AN174" s="269">
        <f>+IF(AND(Q174="Preventivo",AM169="Fuerte"),2,IF(AND(Q174="Preventivo",AM169="Moderado"),1,0))</f>
        <v>0</v>
      </c>
      <c r="AO174" s="269">
        <f t="shared" si="101"/>
        <v>0</v>
      </c>
      <c r="AP174" s="212">
        <f>+K169-AN174</f>
        <v>2</v>
      </c>
      <c r="AQ174" s="212">
        <f>+M169-AO174</f>
        <v>3</v>
      </c>
      <c r="AR174" s="434"/>
      <c r="AS174" s="434"/>
      <c r="AT174" s="434"/>
      <c r="AU174" s="434"/>
      <c r="AV174" s="201"/>
      <c r="AW174" s="201"/>
      <c r="AX174" s="201"/>
      <c r="AY174" s="201"/>
      <c r="AZ174" s="201"/>
      <c r="BA174" s="201"/>
      <c r="BB174" s="354"/>
      <c r="BC174" s="616"/>
      <c r="BD174" s="282"/>
      <c r="BE174" s="544"/>
      <c r="BF174" s="563"/>
      <c r="BG174" s="563"/>
    </row>
    <row r="175" spans="1:59" ht="154">
      <c r="A175" s="436">
        <v>30</v>
      </c>
      <c r="B175" s="439" t="s">
        <v>68</v>
      </c>
      <c r="C175" s="500" t="str">
        <f>IFERROR(VLOOKUP(B175,Listados!B$3:C$20,2,FALSE),"")</f>
        <v>Gestión contra la Criminalidad y la Reincidencia</v>
      </c>
      <c r="D175" s="502" t="s">
        <v>1763</v>
      </c>
      <c r="E175" s="425" t="s">
        <v>52</v>
      </c>
      <c r="F175" s="149" t="s">
        <v>1197</v>
      </c>
      <c r="G175" s="250" t="s">
        <v>1764</v>
      </c>
      <c r="H175" s="251" t="s">
        <v>16</v>
      </c>
      <c r="I175" s="251" t="s">
        <v>1765</v>
      </c>
      <c r="J175" s="495" t="s">
        <v>31</v>
      </c>
      <c r="K175" s="466">
        <f>+VLOOKUP(J175,Listados!$K$8:$L$12,2,0)</f>
        <v>2</v>
      </c>
      <c r="L175" s="477" t="s">
        <v>54</v>
      </c>
      <c r="M175" s="466">
        <f>+VLOOKUP(L175,Listados!$K$13:$L$17,2,0)</f>
        <v>4</v>
      </c>
      <c r="N175" s="496" t="str">
        <f>IF(AND(J175&lt;&gt;"",L175&lt;&gt;""),VLOOKUP(J175&amp;L175,Listados!$M$3:$N$27,2,FALSE),"")</f>
        <v>Alto</v>
      </c>
      <c r="O175" s="229" t="s">
        <v>1199</v>
      </c>
      <c r="P175" s="137" t="s">
        <v>364</v>
      </c>
      <c r="Q175" s="137" t="s">
        <v>20</v>
      </c>
      <c r="R175" s="207" t="s">
        <v>116</v>
      </c>
      <c r="S175" s="208">
        <f t="shared" ref="S175:S177" si="133">+IF(R175="si",15,"")</f>
        <v>15</v>
      </c>
      <c r="T175" s="207" t="s">
        <v>257</v>
      </c>
      <c r="U175" s="208">
        <f t="shared" ref="U175:U177" si="134">+IF(T175="si",15,"")</f>
        <v>15</v>
      </c>
      <c r="V175" s="207" t="s">
        <v>257</v>
      </c>
      <c r="W175" s="208">
        <f t="shared" ref="W175:W177" si="135">+IF(V175="si",15,"")</f>
        <v>15</v>
      </c>
      <c r="X175" s="207" t="s">
        <v>20</v>
      </c>
      <c r="Y175" s="208">
        <f t="shared" ref="Y175:Y177" si="136">+IF(X175="Preventivo",15,IF(X175="Detectivo",10,""))</f>
        <v>15</v>
      </c>
      <c r="Z175" s="207" t="s">
        <v>257</v>
      </c>
      <c r="AA175" s="208">
        <f t="shared" ref="AA175:AA177" si="137">+IF(Z175="si",15,"")</f>
        <v>15</v>
      </c>
      <c r="AB175" s="207" t="s">
        <v>257</v>
      </c>
      <c r="AC175" s="208">
        <f t="shared" ref="AC175:AC177" si="138">+IF(AB175="si",15,"")</f>
        <v>15</v>
      </c>
      <c r="AD175" s="207" t="s">
        <v>117</v>
      </c>
      <c r="AE175" s="208">
        <f t="shared" si="96"/>
        <v>10</v>
      </c>
      <c r="AF175" s="270">
        <f t="shared" si="97"/>
        <v>100</v>
      </c>
      <c r="AG175" s="270" t="str">
        <f t="shared" si="98"/>
        <v>Fuerte</v>
      </c>
      <c r="AH175" s="209" t="s">
        <v>118</v>
      </c>
      <c r="AI175" s="210" t="str">
        <f t="shared" si="99"/>
        <v>Fuerte</v>
      </c>
      <c r="AJ175" s="211" t="str">
        <f>IFERROR(VLOOKUP((CONCATENATE(AG175,AI175)),Listados!$U$3:$V$11,2,FALSE),"")</f>
        <v>Fuerte</v>
      </c>
      <c r="AK175" s="270">
        <f t="shared" si="100"/>
        <v>100</v>
      </c>
      <c r="AL175" s="446">
        <f>AVERAGE(AK175:AK180)</f>
        <v>100</v>
      </c>
      <c r="AM175" s="448" t="str">
        <f>IF(AL175&lt;=50, "Débil", IF(AL175&lt;=99,"Moderado","Fuerte"))</f>
        <v>Fuerte</v>
      </c>
      <c r="AN175" s="269">
        <f>+IF(AND(Q175="Preventivo",AM175="Fuerte"),2,IF(AND(Q175="Preventivo",AM175="Moderado"),1,0))</f>
        <v>2</v>
      </c>
      <c r="AO175" s="269">
        <f t="shared" si="101"/>
        <v>0</v>
      </c>
      <c r="AP175" s="212">
        <f>+K175-AN175</f>
        <v>0</v>
      </c>
      <c r="AQ175" s="212">
        <f>+M175-AO175</f>
        <v>4</v>
      </c>
      <c r="AR175" s="435" t="str">
        <f>+VLOOKUP(MIN(AP175,AP176,AP177,AP178,AP179,AP180),Listados!$J$18:$K$24,2,TRUE)</f>
        <v>Rara Vez</v>
      </c>
      <c r="AS175" s="435" t="str">
        <f>+VLOOKUP(MIN(AQ175,AQ176,AQ177,AQ178,AQ179,AQ180),Listados!$J$27:$K$32,2,TRUE)</f>
        <v>Mayor</v>
      </c>
      <c r="AT175" s="435" t="str">
        <f>IF(AND(AR175&lt;&gt;"",AS175&lt;&gt;""),VLOOKUP(AR175&amp;AS175,Listados!$M$3:$N$27,2,FALSE),"")</f>
        <v>Alto</v>
      </c>
      <c r="AU175" s="435" t="str">
        <f>+VLOOKUP(AT175,Listados!$P$3:$Q$6,2,FALSE)</f>
        <v>Reducir el riesgo</v>
      </c>
      <c r="AV175" s="236" t="s">
        <v>1201</v>
      </c>
      <c r="AW175" s="199" t="s">
        <v>1179</v>
      </c>
      <c r="AX175" s="241">
        <v>44927</v>
      </c>
      <c r="AY175" s="241">
        <v>45291</v>
      </c>
      <c r="AZ175" s="378" t="s">
        <v>1180</v>
      </c>
      <c r="BA175" s="238" t="s">
        <v>1503</v>
      </c>
      <c r="BB175" s="379" t="s">
        <v>1504</v>
      </c>
      <c r="BC175" s="282" t="s">
        <v>1773</v>
      </c>
      <c r="BD175" s="202"/>
      <c r="BE175" s="542" t="s">
        <v>1528</v>
      </c>
      <c r="BF175" s="585" t="s">
        <v>1781</v>
      </c>
      <c r="BG175" s="585"/>
    </row>
    <row r="176" spans="1:59" ht="154">
      <c r="A176" s="437"/>
      <c r="B176" s="439"/>
      <c r="C176" s="500"/>
      <c r="D176" s="502"/>
      <c r="E176" s="149"/>
      <c r="F176" s="149"/>
      <c r="G176" s="250" t="s">
        <v>1766</v>
      </c>
      <c r="H176" s="251" t="s">
        <v>16</v>
      </c>
      <c r="I176" s="251" t="s">
        <v>1198</v>
      </c>
      <c r="J176" s="495"/>
      <c r="K176" s="467"/>
      <c r="L176" s="478"/>
      <c r="M176" s="467"/>
      <c r="N176" s="497"/>
      <c r="O176" s="229" t="s">
        <v>1200</v>
      </c>
      <c r="P176" s="137" t="s">
        <v>364</v>
      </c>
      <c r="Q176" s="137" t="s">
        <v>20</v>
      </c>
      <c r="R176" s="207" t="s">
        <v>116</v>
      </c>
      <c r="S176" s="208">
        <f t="shared" si="133"/>
        <v>15</v>
      </c>
      <c r="T176" s="207" t="s">
        <v>257</v>
      </c>
      <c r="U176" s="208">
        <f t="shared" si="134"/>
        <v>15</v>
      </c>
      <c r="V176" s="207" t="s">
        <v>257</v>
      </c>
      <c r="W176" s="208">
        <f t="shared" si="135"/>
        <v>15</v>
      </c>
      <c r="X176" s="207" t="s">
        <v>20</v>
      </c>
      <c r="Y176" s="208">
        <f t="shared" si="136"/>
        <v>15</v>
      </c>
      <c r="Z176" s="207" t="s">
        <v>257</v>
      </c>
      <c r="AA176" s="208">
        <f t="shared" si="137"/>
        <v>15</v>
      </c>
      <c r="AB176" s="207" t="s">
        <v>257</v>
      </c>
      <c r="AC176" s="208">
        <f t="shared" si="138"/>
        <v>15</v>
      </c>
      <c r="AD176" s="207" t="s">
        <v>117</v>
      </c>
      <c r="AE176" s="208">
        <f t="shared" si="96"/>
        <v>10</v>
      </c>
      <c r="AF176" s="270">
        <f t="shared" si="97"/>
        <v>100</v>
      </c>
      <c r="AG176" s="270" t="str">
        <f t="shared" si="98"/>
        <v>Fuerte</v>
      </c>
      <c r="AH176" s="209" t="s">
        <v>118</v>
      </c>
      <c r="AI176" s="210" t="str">
        <f t="shared" si="99"/>
        <v>Fuerte</v>
      </c>
      <c r="AJ176" s="211" t="str">
        <f>IFERROR(VLOOKUP((CONCATENATE(AG176,AI176)),Listados!$U$3:$V$11,2,FALSE),"")</f>
        <v>Fuerte</v>
      </c>
      <c r="AK176" s="270">
        <f t="shared" si="100"/>
        <v>100</v>
      </c>
      <c r="AL176" s="447"/>
      <c r="AM176" s="449"/>
      <c r="AN176" s="269">
        <f>+IF(AND(Q176="Preventivo",AM175="Fuerte"),2,IF(AND(Q176="Preventivo",AM175="Moderado"),1,0))</f>
        <v>2</v>
      </c>
      <c r="AO176" s="269">
        <f t="shared" si="101"/>
        <v>0</v>
      </c>
      <c r="AP176" s="212">
        <f>+K175-AN176</f>
        <v>0</v>
      </c>
      <c r="AQ176" s="212">
        <f>+M175-AO176</f>
        <v>4</v>
      </c>
      <c r="AR176" s="433"/>
      <c r="AS176" s="433"/>
      <c r="AT176" s="433"/>
      <c r="AU176" s="433"/>
      <c r="AV176" s="199" t="s">
        <v>1767</v>
      </c>
      <c r="AW176" s="199" t="s">
        <v>1179</v>
      </c>
      <c r="AX176" s="241">
        <v>44927</v>
      </c>
      <c r="AY176" s="241">
        <v>45291</v>
      </c>
      <c r="AZ176" s="378" t="s">
        <v>1180</v>
      </c>
      <c r="BA176" s="238" t="s">
        <v>1505</v>
      </c>
      <c r="BB176" s="379" t="s">
        <v>1506</v>
      </c>
      <c r="BC176" s="282" t="s">
        <v>1774</v>
      </c>
      <c r="BD176" s="202"/>
      <c r="BE176" s="543"/>
      <c r="BF176" s="562"/>
      <c r="BG176" s="562"/>
    </row>
    <row r="177" spans="1:59" ht="196">
      <c r="A177" s="437"/>
      <c r="B177" s="439"/>
      <c r="C177" s="500"/>
      <c r="D177" s="502"/>
      <c r="E177" s="149"/>
      <c r="F177" s="149"/>
      <c r="G177" s="137" t="s">
        <v>1299</v>
      </c>
      <c r="H177" s="137"/>
      <c r="I177" s="137"/>
      <c r="J177" s="495"/>
      <c r="K177" s="467"/>
      <c r="L177" s="478"/>
      <c r="M177" s="467"/>
      <c r="N177" s="497"/>
      <c r="O177" s="229" t="s">
        <v>365</v>
      </c>
      <c r="P177" s="137" t="s">
        <v>362</v>
      </c>
      <c r="Q177" s="137" t="s">
        <v>20</v>
      </c>
      <c r="R177" s="207" t="s">
        <v>116</v>
      </c>
      <c r="S177" s="208">
        <f t="shared" si="133"/>
        <v>15</v>
      </c>
      <c r="T177" s="207" t="s">
        <v>257</v>
      </c>
      <c r="U177" s="208">
        <f t="shared" si="134"/>
        <v>15</v>
      </c>
      <c r="V177" s="207" t="s">
        <v>257</v>
      </c>
      <c r="W177" s="208">
        <f t="shared" si="135"/>
        <v>15</v>
      </c>
      <c r="X177" s="207" t="s">
        <v>20</v>
      </c>
      <c r="Y177" s="208">
        <f t="shared" si="136"/>
        <v>15</v>
      </c>
      <c r="Z177" s="207" t="s">
        <v>257</v>
      </c>
      <c r="AA177" s="208">
        <f t="shared" si="137"/>
        <v>15</v>
      </c>
      <c r="AB177" s="207" t="s">
        <v>257</v>
      </c>
      <c r="AC177" s="208">
        <f t="shared" si="138"/>
        <v>15</v>
      </c>
      <c r="AD177" s="207" t="s">
        <v>117</v>
      </c>
      <c r="AE177" s="208">
        <f t="shared" si="96"/>
        <v>10</v>
      </c>
      <c r="AF177" s="270">
        <f t="shared" si="97"/>
        <v>100</v>
      </c>
      <c r="AG177" s="270" t="str">
        <f t="shared" si="98"/>
        <v>Fuerte</v>
      </c>
      <c r="AH177" s="209" t="s">
        <v>118</v>
      </c>
      <c r="AI177" s="210" t="str">
        <f t="shared" si="99"/>
        <v>Fuerte</v>
      </c>
      <c r="AJ177" s="211" t="str">
        <f>IFERROR(VLOOKUP((CONCATENATE(AG177,AI177)),Listados!$U$3:$V$11,2,FALSE),"")</f>
        <v>Fuerte</v>
      </c>
      <c r="AK177" s="270">
        <f t="shared" si="100"/>
        <v>100</v>
      </c>
      <c r="AL177" s="447"/>
      <c r="AM177" s="449"/>
      <c r="AN177" s="269">
        <f>+IF(AND(Q177="Preventivo",AM175="Fuerte"),2,IF(AND(Q177="Preventivo",AM175="Moderado"),1,0))</f>
        <v>2</v>
      </c>
      <c r="AO177" s="269">
        <f t="shared" si="101"/>
        <v>0</v>
      </c>
      <c r="AP177" s="212">
        <f>+K175-AN177</f>
        <v>0</v>
      </c>
      <c r="AQ177" s="212">
        <f>+M175-AO177</f>
        <v>4</v>
      </c>
      <c r="AR177" s="433"/>
      <c r="AS177" s="433"/>
      <c r="AT177" s="433"/>
      <c r="AU177" s="433"/>
      <c r="AV177" s="201"/>
      <c r="AW177" s="201"/>
      <c r="AX177" s="201"/>
      <c r="AY177" s="201"/>
      <c r="AZ177" s="201"/>
      <c r="BA177" s="201"/>
      <c r="BB177" s="354"/>
      <c r="BC177" s="282"/>
      <c r="BD177" s="282"/>
      <c r="BE177" s="543"/>
      <c r="BF177" s="562"/>
      <c r="BG177" s="562"/>
    </row>
    <row r="178" spans="1:59" ht="14.15" customHeight="1">
      <c r="A178" s="437"/>
      <c r="B178" s="439"/>
      <c r="C178" s="500"/>
      <c r="D178" s="502"/>
      <c r="E178" s="149"/>
      <c r="F178" s="149"/>
      <c r="G178" s="137"/>
      <c r="H178" s="137"/>
      <c r="I178" s="137"/>
      <c r="J178" s="495"/>
      <c r="K178" s="467"/>
      <c r="L178" s="478"/>
      <c r="M178" s="467"/>
      <c r="N178" s="497"/>
      <c r="O178" s="149"/>
      <c r="P178" s="137"/>
      <c r="Q178" s="137"/>
      <c r="R178" s="231"/>
      <c r="S178" s="208" t="str">
        <f t="shared" si="90"/>
        <v/>
      </c>
      <c r="T178" s="231"/>
      <c r="U178" s="208" t="str">
        <f t="shared" si="91"/>
        <v/>
      </c>
      <c r="V178" s="207"/>
      <c r="W178" s="208" t="str">
        <f t="shared" si="92"/>
        <v/>
      </c>
      <c r="X178" s="207"/>
      <c r="Y178" s="208" t="str">
        <f t="shared" si="93"/>
        <v/>
      </c>
      <c r="Z178" s="207"/>
      <c r="AA178" s="208" t="str">
        <f t="shared" si="94"/>
        <v/>
      </c>
      <c r="AB178" s="207"/>
      <c r="AC178" s="208" t="str">
        <f t="shared" si="95"/>
        <v/>
      </c>
      <c r="AD178" s="207"/>
      <c r="AE178" s="208" t="str">
        <f t="shared" si="96"/>
        <v/>
      </c>
      <c r="AF178" s="270" t="str">
        <f t="shared" si="97"/>
        <v/>
      </c>
      <c r="AG178" s="270" t="str">
        <f t="shared" si="98"/>
        <v/>
      </c>
      <c r="AH178" s="209"/>
      <c r="AI178" s="210" t="str">
        <f t="shared" si="99"/>
        <v>Débil</v>
      </c>
      <c r="AJ178" s="211" t="str">
        <f>IFERROR(VLOOKUP((CONCATENATE(AG178,AI178)),Listados!$U$3:$V$11,2,FALSE),"")</f>
        <v/>
      </c>
      <c r="AK178" s="270">
        <f t="shared" si="100"/>
        <v>100</v>
      </c>
      <c r="AL178" s="447"/>
      <c r="AM178" s="449"/>
      <c r="AN178" s="269">
        <f>+IF(AND(Q178="Preventivo",AM175="Fuerte"),2,IF(AND(Q178="Preventivo",AM175="Moderado"),1,0))</f>
        <v>0</v>
      </c>
      <c r="AO178" s="269">
        <f t="shared" si="101"/>
        <v>0</v>
      </c>
      <c r="AP178" s="212">
        <f>+K175-AN178</f>
        <v>2</v>
      </c>
      <c r="AQ178" s="212">
        <f>+M175-AO178</f>
        <v>4</v>
      </c>
      <c r="AR178" s="433"/>
      <c r="AS178" s="433"/>
      <c r="AT178" s="433"/>
      <c r="AU178" s="433"/>
      <c r="AV178" s="201"/>
      <c r="AW178" s="201"/>
      <c r="AX178" s="201"/>
      <c r="AY178" s="201"/>
      <c r="AZ178" s="201"/>
      <c r="BA178" s="201"/>
      <c r="BB178" s="354"/>
      <c r="BC178" s="282"/>
      <c r="BD178" s="282"/>
      <c r="BE178" s="543"/>
      <c r="BF178" s="562"/>
      <c r="BG178" s="562"/>
    </row>
    <row r="179" spans="1:59" ht="14.15" customHeight="1">
      <c r="A179" s="437"/>
      <c r="B179" s="439"/>
      <c r="C179" s="500"/>
      <c r="D179" s="502"/>
      <c r="E179" s="149"/>
      <c r="F179" s="149"/>
      <c r="G179" s="137"/>
      <c r="H179" s="137"/>
      <c r="I179" s="137"/>
      <c r="J179" s="495"/>
      <c r="K179" s="467"/>
      <c r="L179" s="478"/>
      <c r="M179" s="467"/>
      <c r="N179" s="497"/>
      <c r="O179" s="149"/>
      <c r="P179" s="137"/>
      <c r="Q179" s="137"/>
      <c r="R179" s="231"/>
      <c r="S179" s="208" t="str">
        <f t="shared" si="90"/>
        <v/>
      </c>
      <c r="T179" s="231"/>
      <c r="U179" s="208" t="str">
        <f t="shared" si="91"/>
        <v/>
      </c>
      <c r="V179" s="207"/>
      <c r="W179" s="208" t="str">
        <f t="shared" si="92"/>
        <v/>
      </c>
      <c r="X179" s="207"/>
      <c r="Y179" s="208" t="str">
        <f t="shared" si="93"/>
        <v/>
      </c>
      <c r="Z179" s="207"/>
      <c r="AA179" s="208" t="str">
        <f t="shared" si="94"/>
        <v/>
      </c>
      <c r="AB179" s="207"/>
      <c r="AC179" s="208" t="str">
        <f t="shared" si="95"/>
        <v/>
      </c>
      <c r="AD179" s="207"/>
      <c r="AE179" s="208" t="str">
        <f t="shared" si="96"/>
        <v/>
      </c>
      <c r="AF179" s="270" t="str">
        <f t="shared" si="97"/>
        <v/>
      </c>
      <c r="AG179" s="270" t="str">
        <f t="shared" si="98"/>
        <v/>
      </c>
      <c r="AH179" s="209"/>
      <c r="AI179" s="210" t="str">
        <f t="shared" si="99"/>
        <v>Débil</v>
      </c>
      <c r="AJ179" s="211" t="str">
        <f>IFERROR(VLOOKUP((CONCATENATE(AG179,AI179)),Listados!$U$3:$V$11,2,FALSE),"")</f>
        <v/>
      </c>
      <c r="AK179" s="270">
        <f t="shared" si="100"/>
        <v>100</v>
      </c>
      <c r="AL179" s="447"/>
      <c r="AM179" s="449"/>
      <c r="AN179" s="269">
        <f>+IF(AND(Q179="Preventivo",AM175="Fuerte"),2,IF(AND(Q179="Preventivo",AM175="Moderado"),1,0))</f>
        <v>0</v>
      </c>
      <c r="AO179" s="269">
        <f t="shared" si="101"/>
        <v>0</v>
      </c>
      <c r="AP179" s="212">
        <f>+K175-AN179</f>
        <v>2</v>
      </c>
      <c r="AQ179" s="212">
        <f>+M175-AO179</f>
        <v>4</v>
      </c>
      <c r="AR179" s="433"/>
      <c r="AS179" s="433"/>
      <c r="AT179" s="433"/>
      <c r="AU179" s="433"/>
      <c r="AV179" s="201"/>
      <c r="AW179" s="201"/>
      <c r="AX179" s="201"/>
      <c r="AY179" s="201"/>
      <c r="AZ179" s="201"/>
      <c r="BA179" s="201"/>
      <c r="BB179" s="354"/>
      <c r="BC179" s="282"/>
      <c r="BD179" s="282"/>
      <c r="BE179" s="543"/>
      <c r="BF179" s="562"/>
      <c r="BG179" s="562"/>
    </row>
    <row r="180" spans="1:59" ht="14.5" customHeight="1" thickBot="1">
      <c r="A180" s="438"/>
      <c r="B180" s="439"/>
      <c r="C180" s="500"/>
      <c r="D180" s="502"/>
      <c r="E180" s="149"/>
      <c r="F180" s="149"/>
      <c r="G180" s="137"/>
      <c r="H180" s="137"/>
      <c r="I180" s="137"/>
      <c r="J180" s="495"/>
      <c r="K180" s="468"/>
      <c r="L180" s="478"/>
      <c r="M180" s="468"/>
      <c r="N180" s="497"/>
      <c r="O180" s="149"/>
      <c r="P180" s="137"/>
      <c r="Q180" s="137"/>
      <c r="R180" s="231"/>
      <c r="S180" s="208" t="str">
        <f t="shared" si="90"/>
        <v/>
      </c>
      <c r="T180" s="231"/>
      <c r="U180" s="208" t="str">
        <f t="shared" si="91"/>
        <v/>
      </c>
      <c r="V180" s="207"/>
      <c r="W180" s="208" t="str">
        <f t="shared" si="92"/>
        <v/>
      </c>
      <c r="X180" s="207"/>
      <c r="Y180" s="208" t="str">
        <f t="shared" si="93"/>
        <v/>
      </c>
      <c r="Z180" s="207"/>
      <c r="AA180" s="208" t="str">
        <f t="shared" si="94"/>
        <v/>
      </c>
      <c r="AB180" s="207"/>
      <c r="AC180" s="208" t="str">
        <f t="shared" si="95"/>
        <v/>
      </c>
      <c r="AD180" s="207"/>
      <c r="AE180" s="208" t="str">
        <f t="shared" si="96"/>
        <v/>
      </c>
      <c r="AF180" s="270" t="str">
        <f t="shared" si="97"/>
        <v/>
      </c>
      <c r="AG180" s="270" t="str">
        <f t="shared" si="98"/>
        <v/>
      </c>
      <c r="AH180" s="209"/>
      <c r="AI180" s="210" t="str">
        <f t="shared" si="99"/>
        <v>Débil</v>
      </c>
      <c r="AJ180" s="211" t="str">
        <f>IFERROR(VLOOKUP((CONCATENATE(AG180,AI180)),Listados!$U$3:$V$11,2,FALSE),"")</f>
        <v/>
      </c>
      <c r="AK180" s="270">
        <f t="shared" si="100"/>
        <v>100</v>
      </c>
      <c r="AL180" s="448"/>
      <c r="AM180" s="449"/>
      <c r="AN180" s="269">
        <f>+IF(AND(Q180="Preventivo",AM175="Fuerte"),2,IF(AND(Q180="Preventivo",AM175="Moderado"),1,0))</f>
        <v>0</v>
      </c>
      <c r="AO180" s="269">
        <f t="shared" si="101"/>
        <v>0</v>
      </c>
      <c r="AP180" s="212">
        <f>+K175-AN180</f>
        <v>2</v>
      </c>
      <c r="AQ180" s="212">
        <f>+M175-AO180</f>
        <v>4</v>
      </c>
      <c r="AR180" s="434"/>
      <c r="AS180" s="434"/>
      <c r="AT180" s="434"/>
      <c r="AU180" s="434"/>
      <c r="AV180" s="201"/>
      <c r="AW180" s="201"/>
      <c r="AX180" s="201"/>
      <c r="AY180" s="201"/>
      <c r="AZ180" s="201"/>
      <c r="BA180" s="201"/>
      <c r="BB180" s="354"/>
      <c r="BC180" s="282"/>
      <c r="BD180" s="282"/>
      <c r="BE180" s="544"/>
      <c r="BF180" s="563"/>
      <c r="BG180" s="563"/>
    </row>
    <row r="181" spans="1:59" ht="196">
      <c r="A181" s="436">
        <v>31</v>
      </c>
      <c r="B181" s="439" t="s">
        <v>68</v>
      </c>
      <c r="C181" s="500" t="str">
        <f>IFERROR(VLOOKUP(B181,Listados!B$3:C$20,2,FALSE),"")</f>
        <v>Gestión contra la Criminalidad y la Reincidencia</v>
      </c>
      <c r="D181" s="502" t="s">
        <v>1300</v>
      </c>
      <c r="E181" s="149" t="s">
        <v>15</v>
      </c>
      <c r="F181" s="149" t="s">
        <v>177</v>
      </c>
      <c r="G181" s="137" t="s">
        <v>1768</v>
      </c>
      <c r="H181" s="137" t="s">
        <v>30</v>
      </c>
      <c r="I181" s="137" t="s">
        <v>1769</v>
      </c>
      <c r="J181" s="495" t="s">
        <v>53</v>
      </c>
      <c r="K181" s="466">
        <f>+VLOOKUP(J181,Listados!$K$8:$L$12,2,0)</f>
        <v>4</v>
      </c>
      <c r="L181" s="477" t="s">
        <v>36</v>
      </c>
      <c r="M181" s="466">
        <f>+VLOOKUP(L181,Listados!$K$13:$L$17,2,0)</f>
        <v>3</v>
      </c>
      <c r="N181" s="496" t="str">
        <f>IF(AND(J181&lt;&gt;"",L181&lt;&gt;""),VLOOKUP(J181&amp;L181,Listados!$M$3:$N$27,2,FALSE),"")</f>
        <v>Alto</v>
      </c>
      <c r="O181" s="229" t="s">
        <v>1770</v>
      </c>
      <c r="P181" s="229" t="s">
        <v>366</v>
      </c>
      <c r="Q181" s="137" t="s">
        <v>123</v>
      </c>
      <c r="R181" s="207" t="s">
        <v>116</v>
      </c>
      <c r="S181" s="208">
        <f t="shared" ref="S181" si="139">+IF(R181="si",15,"")</f>
        <v>15</v>
      </c>
      <c r="T181" s="207" t="s">
        <v>257</v>
      </c>
      <c r="U181" s="208">
        <f t="shared" ref="U181" si="140">+IF(T181="si",15,"")</f>
        <v>15</v>
      </c>
      <c r="V181" s="207" t="s">
        <v>257</v>
      </c>
      <c r="W181" s="208">
        <f t="shared" ref="W181" si="141">+IF(V181="si",15,"")</f>
        <v>15</v>
      </c>
      <c r="X181" s="207" t="s">
        <v>20</v>
      </c>
      <c r="Y181" s="208">
        <f t="shared" ref="Y181" si="142">+IF(X181="Preventivo",15,IF(X181="Detectivo",10,""))</f>
        <v>15</v>
      </c>
      <c r="Z181" s="207" t="s">
        <v>257</v>
      </c>
      <c r="AA181" s="208">
        <f t="shared" ref="AA181" si="143">+IF(Z181="si",15,"")</f>
        <v>15</v>
      </c>
      <c r="AB181" s="207" t="s">
        <v>257</v>
      </c>
      <c r="AC181" s="208">
        <f t="shared" ref="AC181" si="144">+IF(AB181="si",15,"")</f>
        <v>15</v>
      </c>
      <c r="AD181" s="207" t="s">
        <v>117</v>
      </c>
      <c r="AE181" s="208">
        <f t="shared" si="96"/>
        <v>10</v>
      </c>
      <c r="AF181" s="270">
        <f t="shared" si="97"/>
        <v>100</v>
      </c>
      <c r="AG181" s="270" t="str">
        <f t="shared" si="98"/>
        <v>Fuerte</v>
      </c>
      <c r="AH181" s="209" t="s">
        <v>118</v>
      </c>
      <c r="AI181" s="210" t="str">
        <f t="shared" si="99"/>
        <v>Fuerte</v>
      </c>
      <c r="AJ181" s="211" t="str">
        <f>IFERROR(VLOOKUP((CONCATENATE(AG181,AI181)),Listados!$U$3:$V$11,2,FALSE),"")</f>
        <v>Fuerte</v>
      </c>
      <c r="AK181" s="270">
        <f t="shared" si="100"/>
        <v>100</v>
      </c>
      <c r="AL181" s="446">
        <f>AVERAGE(AK181:AK186)</f>
        <v>100</v>
      </c>
      <c r="AM181" s="448" t="str">
        <f>IF(AL181&lt;=50, "Débil", IF(AL181&lt;=99,"Moderado","Fuerte"))</f>
        <v>Fuerte</v>
      </c>
      <c r="AN181" s="269">
        <f>+IF(AND(Q181="Preventivo",AM181="Fuerte"),2,IF(AND(Q181="Preventivo",AM181="Moderado"),1,0))</f>
        <v>0</v>
      </c>
      <c r="AO181" s="269">
        <f t="shared" si="101"/>
        <v>0</v>
      </c>
      <c r="AP181" s="212">
        <f>+K181-AN181</f>
        <v>4</v>
      </c>
      <c r="AQ181" s="212">
        <f>+M181-AO181</f>
        <v>3</v>
      </c>
      <c r="AR181" s="435" t="str">
        <f>+VLOOKUP(MIN(AP181,AP182,AP183,AP184,AP185,AP186),Listados!$J$18:$K$24,2,TRUE)</f>
        <v>Probable</v>
      </c>
      <c r="AS181" s="435" t="str">
        <f>+VLOOKUP(MIN(AQ181,AQ182,AQ183,AQ184,AQ185,AQ186),Listados!$J$27:$K$32,2,TRUE)</f>
        <v>Moderado</v>
      </c>
      <c r="AT181" s="435" t="str">
        <f>IF(AND(AR181&lt;&gt;"",AS181&lt;&gt;""),VLOOKUP(AR181&amp;AS181,Listados!$M$3:$N$27,2,FALSE),"")</f>
        <v>Alto</v>
      </c>
      <c r="AU181" s="435" t="str">
        <f>+VLOOKUP(AT181,Listados!$P$3:$Q$6,2,FALSE)</f>
        <v>Reducir el riesgo</v>
      </c>
      <c r="AV181" s="612" t="s">
        <v>1771</v>
      </c>
      <c r="AW181" s="612" t="s">
        <v>1082</v>
      </c>
      <c r="AX181" s="613">
        <v>44927</v>
      </c>
      <c r="AY181" s="613">
        <v>45291</v>
      </c>
      <c r="AZ181" s="612" t="s">
        <v>1083</v>
      </c>
      <c r="BA181" s="612" t="s">
        <v>1507</v>
      </c>
      <c r="BB181" s="614" t="s">
        <v>1508</v>
      </c>
      <c r="BC181" s="585" t="s">
        <v>1772</v>
      </c>
      <c r="BD181" s="585"/>
      <c r="BE181" s="542" t="s">
        <v>1529</v>
      </c>
      <c r="BF181" s="585" t="s">
        <v>1780</v>
      </c>
      <c r="BG181" s="585"/>
    </row>
    <row r="182" spans="1:59" ht="15" customHeight="1">
      <c r="A182" s="437"/>
      <c r="B182" s="439"/>
      <c r="C182" s="500"/>
      <c r="D182" s="502"/>
      <c r="E182" s="149"/>
      <c r="F182" s="149"/>
      <c r="G182" s="137"/>
      <c r="H182" s="137"/>
      <c r="I182" s="137"/>
      <c r="J182" s="495"/>
      <c r="K182" s="467"/>
      <c r="L182" s="478"/>
      <c r="M182" s="467"/>
      <c r="N182" s="497"/>
      <c r="O182" s="149"/>
      <c r="P182" s="137"/>
      <c r="Q182" s="137"/>
      <c r="R182" s="231"/>
      <c r="S182" s="208" t="str">
        <f t="shared" si="90"/>
        <v/>
      </c>
      <c r="T182" s="231"/>
      <c r="U182" s="208" t="str">
        <f t="shared" si="91"/>
        <v/>
      </c>
      <c r="V182" s="207"/>
      <c r="W182" s="208" t="str">
        <f t="shared" si="92"/>
        <v/>
      </c>
      <c r="X182" s="207"/>
      <c r="Y182" s="208" t="str">
        <f t="shared" si="93"/>
        <v/>
      </c>
      <c r="Z182" s="207"/>
      <c r="AA182" s="208" t="str">
        <f t="shared" si="94"/>
        <v/>
      </c>
      <c r="AB182" s="207"/>
      <c r="AC182" s="208" t="str">
        <f t="shared" si="95"/>
        <v/>
      </c>
      <c r="AD182" s="207"/>
      <c r="AE182" s="208" t="str">
        <f t="shared" si="96"/>
        <v/>
      </c>
      <c r="AF182" s="270" t="str">
        <f t="shared" si="97"/>
        <v/>
      </c>
      <c r="AG182" s="270" t="str">
        <f t="shared" si="98"/>
        <v/>
      </c>
      <c r="AH182" s="209"/>
      <c r="AI182" s="210" t="str">
        <f t="shared" si="99"/>
        <v>Débil</v>
      </c>
      <c r="AJ182" s="211" t="str">
        <f>IFERROR(VLOOKUP((CONCATENATE(AG182,AI182)),Listados!$U$3:$V$11,2,FALSE),"")</f>
        <v/>
      </c>
      <c r="AK182" s="270">
        <f t="shared" si="100"/>
        <v>100</v>
      </c>
      <c r="AL182" s="447"/>
      <c r="AM182" s="449"/>
      <c r="AN182" s="269">
        <f>+IF(AND(Q182="Preventivo",AM181="Fuerte"),2,IF(AND(Q182="Preventivo",AM181="Moderado"),1,0))</f>
        <v>0</v>
      </c>
      <c r="AO182" s="269">
        <f t="shared" si="101"/>
        <v>0</v>
      </c>
      <c r="AP182" s="212">
        <f>+K181-AN182</f>
        <v>4</v>
      </c>
      <c r="AQ182" s="212">
        <f>+M181-AO182</f>
        <v>3</v>
      </c>
      <c r="AR182" s="433"/>
      <c r="AS182" s="433"/>
      <c r="AT182" s="433"/>
      <c r="AU182" s="433"/>
      <c r="AV182" s="562"/>
      <c r="AW182" s="562"/>
      <c r="AX182" s="587"/>
      <c r="AY182" s="587"/>
      <c r="AZ182" s="562"/>
      <c r="BA182" s="562"/>
      <c r="BB182" s="590"/>
      <c r="BC182" s="562"/>
      <c r="BD182" s="562"/>
      <c r="BE182" s="543"/>
      <c r="BF182" s="562"/>
      <c r="BG182" s="562"/>
    </row>
    <row r="183" spans="1:59" ht="15" customHeight="1">
      <c r="A183" s="437"/>
      <c r="B183" s="439"/>
      <c r="C183" s="500"/>
      <c r="D183" s="502"/>
      <c r="E183" s="149"/>
      <c r="F183" s="149"/>
      <c r="G183" s="137"/>
      <c r="H183" s="137"/>
      <c r="I183" s="137"/>
      <c r="J183" s="495"/>
      <c r="K183" s="467"/>
      <c r="L183" s="478"/>
      <c r="M183" s="467"/>
      <c r="N183" s="497"/>
      <c r="O183" s="149"/>
      <c r="P183" s="137"/>
      <c r="Q183" s="137"/>
      <c r="R183" s="231"/>
      <c r="S183" s="208" t="str">
        <f t="shared" si="90"/>
        <v/>
      </c>
      <c r="T183" s="231"/>
      <c r="U183" s="208" t="str">
        <f t="shared" si="91"/>
        <v/>
      </c>
      <c r="V183" s="207"/>
      <c r="W183" s="208" t="str">
        <f t="shared" si="92"/>
        <v/>
      </c>
      <c r="X183" s="207"/>
      <c r="Y183" s="208" t="str">
        <f t="shared" si="93"/>
        <v/>
      </c>
      <c r="Z183" s="207"/>
      <c r="AA183" s="208" t="str">
        <f t="shared" si="94"/>
        <v/>
      </c>
      <c r="AB183" s="207"/>
      <c r="AC183" s="208" t="str">
        <f t="shared" si="95"/>
        <v/>
      </c>
      <c r="AD183" s="207"/>
      <c r="AE183" s="208" t="str">
        <f t="shared" si="96"/>
        <v/>
      </c>
      <c r="AF183" s="270" t="str">
        <f t="shared" si="97"/>
        <v/>
      </c>
      <c r="AG183" s="270" t="str">
        <f t="shared" si="98"/>
        <v/>
      </c>
      <c r="AH183" s="209"/>
      <c r="AI183" s="210" t="str">
        <f t="shared" si="99"/>
        <v>Débil</v>
      </c>
      <c r="AJ183" s="211" t="str">
        <f>IFERROR(VLOOKUP((CONCATENATE(AG183,AI183)),Listados!$U$3:$V$11,2,FALSE),"")</f>
        <v/>
      </c>
      <c r="AK183" s="270">
        <f t="shared" si="100"/>
        <v>100</v>
      </c>
      <c r="AL183" s="447"/>
      <c r="AM183" s="449"/>
      <c r="AN183" s="269">
        <f>+IF(AND(Q183="Preventivo",AM181="Fuerte"),2,IF(AND(Q183="Preventivo",AM181="Moderado"),1,0))</f>
        <v>0</v>
      </c>
      <c r="AO183" s="269">
        <f t="shared" si="101"/>
        <v>0</v>
      </c>
      <c r="AP183" s="212">
        <f>+K181-AN183</f>
        <v>4</v>
      </c>
      <c r="AQ183" s="212">
        <f>+M181-AO183</f>
        <v>3</v>
      </c>
      <c r="AR183" s="433"/>
      <c r="AS183" s="433"/>
      <c r="AT183" s="433"/>
      <c r="AU183" s="433"/>
      <c r="AV183" s="562"/>
      <c r="AW183" s="562"/>
      <c r="AX183" s="587"/>
      <c r="AY183" s="587"/>
      <c r="AZ183" s="562"/>
      <c r="BA183" s="562"/>
      <c r="BB183" s="590"/>
      <c r="BC183" s="562"/>
      <c r="BD183" s="562"/>
      <c r="BE183" s="543"/>
      <c r="BF183" s="562"/>
      <c r="BG183" s="562"/>
    </row>
    <row r="184" spans="1:59" ht="15" customHeight="1">
      <c r="A184" s="437"/>
      <c r="B184" s="439"/>
      <c r="C184" s="500"/>
      <c r="D184" s="502"/>
      <c r="E184" s="149"/>
      <c r="F184" s="149"/>
      <c r="G184" s="137"/>
      <c r="H184" s="137"/>
      <c r="I184" s="137"/>
      <c r="J184" s="495"/>
      <c r="K184" s="467"/>
      <c r="L184" s="478"/>
      <c r="M184" s="467"/>
      <c r="N184" s="497"/>
      <c r="O184" s="149"/>
      <c r="P184" s="137"/>
      <c r="Q184" s="137"/>
      <c r="R184" s="231"/>
      <c r="S184" s="208" t="str">
        <f t="shared" si="90"/>
        <v/>
      </c>
      <c r="T184" s="231"/>
      <c r="U184" s="208" t="str">
        <f t="shared" si="91"/>
        <v/>
      </c>
      <c r="V184" s="207"/>
      <c r="W184" s="208" t="str">
        <f t="shared" si="92"/>
        <v/>
      </c>
      <c r="X184" s="207"/>
      <c r="Y184" s="208" t="str">
        <f t="shared" si="93"/>
        <v/>
      </c>
      <c r="Z184" s="207"/>
      <c r="AA184" s="208" t="str">
        <f t="shared" si="94"/>
        <v/>
      </c>
      <c r="AB184" s="207"/>
      <c r="AC184" s="208" t="str">
        <f t="shared" si="95"/>
        <v/>
      </c>
      <c r="AD184" s="207"/>
      <c r="AE184" s="208" t="str">
        <f t="shared" si="96"/>
        <v/>
      </c>
      <c r="AF184" s="270" t="str">
        <f t="shared" si="97"/>
        <v/>
      </c>
      <c r="AG184" s="270" t="str">
        <f t="shared" si="98"/>
        <v/>
      </c>
      <c r="AH184" s="209"/>
      <c r="AI184" s="210" t="str">
        <f t="shared" si="99"/>
        <v>Débil</v>
      </c>
      <c r="AJ184" s="211" t="str">
        <f>IFERROR(VLOOKUP((CONCATENATE(AG184,AI184)),Listados!$U$3:$V$11,2,FALSE),"")</f>
        <v/>
      </c>
      <c r="AK184" s="270">
        <f t="shared" si="100"/>
        <v>100</v>
      </c>
      <c r="AL184" s="447"/>
      <c r="AM184" s="449"/>
      <c r="AN184" s="269">
        <f>+IF(AND(Q184="Preventivo",AM181="Fuerte"),2,IF(AND(Q184="Preventivo",AM181="Moderado"),1,0))</f>
        <v>0</v>
      </c>
      <c r="AO184" s="269">
        <f t="shared" si="101"/>
        <v>0</v>
      </c>
      <c r="AP184" s="212">
        <f>+K181-AN184</f>
        <v>4</v>
      </c>
      <c r="AQ184" s="212">
        <f>+M181-AO184</f>
        <v>3</v>
      </c>
      <c r="AR184" s="433"/>
      <c r="AS184" s="433"/>
      <c r="AT184" s="433"/>
      <c r="AU184" s="433"/>
      <c r="AV184" s="562"/>
      <c r="AW184" s="562"/>
      <c r="AX184" s="587"/>
      <c r="AY184" s="587"/>
      <c r="AZ184" s="562"/>
      <c r="BA184" s="562"/>
      <c r="BB184" s="590"/>
      <c r="BC184" s="562"/>
      <c r="BD184" s="562"/>
      <c r="BE184" s="543"/>
      <c r="BF184" s="562"/>
      <c r="BG184" s="562"/>
    </row>
    <row r="185" spans="1:59" ht="15" customHeight="1">
      <c r="A185" s="437"/>
      <c r="B185" s="439"/>
      <c r="C185" s="500"/>
      <c r="D185" s="502"/>
      <c r="E185" s="149"/>
      <c r="F185" s="149"/>
      <c r="G185" s="137"/>
      <c r="H185" s="137"/>
      <c r="I185" s="137"/>
      <c r="J185" s="495"/>
      <c r="K185" s="467"/>
      <c r="L185" s="478"/>
      <c r="M185" s="467"/>
      <c r="N185" s="497"/>
      <c r="O185" s="149"/>
      <c r="P185" s="137"/>
      <c r="Q185" s="137"/>
      <c r="R185" s="231"/>
      <c r="S185" s="208" t="str">
        <f t="shared" si="90"/>
        <v/>
      </c>
      <c r="T185" s="231"/>
      <c r="U185" s="208" t="str">
        <f t="shared" si="91"/>
        <v/>
      </c>
      <c r="V185" s="207"/>
      <c r="W185" s="208" t="str">
        <f t="shared" si="92"/>
        <v/>
      </c>
      <c r="X185" s="207"/>
      <c r="Y185" s="208" t="str">
        <f t="shared" si="93"/>
        <v/>
      </c>
      <c r="Z185" s="207"/>
      <c r="AA185" s="208" t="str">
        <f t="shared" si="94"/>
        <v/>
      </c>
      <c r="AB185" s="207"/>
      <c r="AC185" s="208" t="str">
        <f t="shared" si="95"/>
        <v/>
      </c>
      <c r="AD185" s="207"/>
      <c r="AE185" s="208" t="str">
        <f t="shared" si="96"/>
        <v/>
      </c>
      <c r="AF185" s="270" t="str">
        <f t="shared" si="97"/>
        <v/>
      </c>
      <c r="AG185" s="270" t="str">
        <f t="shared" si="98"/>
        <v/>
      </c>
      <c r="AH185" s="209"/>
      <c r="AI185" s="210" t="str">
        <f t="shared" si="99"/>
        <v>Débil</v>
      </c>
      <c r="AJ185" s="211" t="str">
        <f>IFERROR(VLOOKUP((CONCATENATE(AG185,AI185)),Listados!$U$3:$V$11,2,FALSE),"")</f>
        <v/>
      </c>
      <c r="AK185" s="270">
        <f t="shared" si="100"/>
        <v>100</v>
      </c>
      <c r="AL185" s="447"/>
      <c r="AM185" s="449"/>
      <c r="AN185" s="269">
        <f>+IF(AND(Q185="Preventivo",AM181="Fuerte"),2,IF(AND(Q185="Preventivo",AM181="Moderado"),1,0))</f>
        <v>0</v>
      </c>
      <c r="AO185" s="269">
        <f t="shared" si="101"/>
        <v>0</v>
      </c>
      <c r="AP185" s="212">
        <f>+K181-AN185</f>
        <v>4</v>
      </c>
      <c r="AQ185" s="212">
        <f>+M181-AO185</f>
        <v>3</v>
      </c>
      <c r="AR185" s="433"/>
      <c r="AS185" s="433"/>
      <c r="AT185" s="433"/>
      <c r="AU185" s="433"/>
      <c r="AV185" s="562"/>
      <c r="AW185" s="562"/>
      <c r="AX185" s="587"/>
      <c r="AY185" s="587"/>
      <c r="AZ185" s="562"/>
      <c r="BA185" s="562"/>
      <c r="BB185" s="590"/>
      <c r="BC185" s="562"/>
      <c r="BD185" s="562"/>
      <c r="BE185" s="543"/>
      <c r="BF185" s="562"/>
      <c r="BG185" s="562"/>
    </row>
    <row r="186" spans="1:59" ht="14.15" customHeight="1">
      <c r="A186" s="437"/>
      <c r="B186" s="511"/>
      <c r="C186" s="513"/>
      <c r="D186" s="514"/>
      <c r="E186" s="276"/>
      <c r="F186" s="276"/>
      <c r="G186" s="277"/>
      <c r="H186" s="277"/>
      <c r="I186" s="277"/>
      <c r="J186" s="509"/>
      <c r="K186" s="468"/>
      <c r="L186" s="490"/>
      <c r="M186" s="468"/>
      <c r="N186" s="510"/>
      <c r="O186" s="149"/>
      <c r="P186" s="137"/>
      <c r="Q186" s="137"/>
      <c r="R186" s="231"/>
      <c r="S186" s="208" t="str">
        <f t="shared" si="90"/>
        <v/>
      </c>
      <c r="T186" s="231"/>
      <c r="U186" s="208" t="str">
        <f t="shared" si="91"/>
        <v/>
      </c>
      <c r="V186" s="207"/>
      <c r="W186" s="208" t="str">
        <f t="shared" si="92"/>
        <v/>
      </c>
      <c r="X186" s="207"/>
      <c r="Y186" s="208" t="str">
        <f t="shared" si="93"/>
        <v/>
      </c>
      <c r="Z186" s="207"/>
      <c r="AA186" s="208" t="str">
        <f t="shared" si="94"/>
        <v/>
      </c>
      <c r="AB186" s="207"/>
      <c r="AC186" s="208" t="str">
        <f t="shared" si="95"/>
        <v/>
      </c>
      <c r="AD186" s="207"/>
      <c r="AE186" s="208" t="str">
        <f t="shared" si="96"/>
        <v/>
      </c>
      <c r="AF186" s="270" t="str">
        <f t="shared" si="97"/>
        <v/>
      </c>
      <c r="AG186" s="270" t="str">
        <f t="shared" si="98"/>
        <v/>
      </c>
      <c r="AH186" s="209"/>
      <c r="AI186" s="210" t="str">
        <f t="shared" si="99"/>
        <v>Débil</v>
      </c>
      <c r="AJ186" s="211" t="str">
        <f>IFERROR(VLOOKUP((CONCATENATE(AG186,AI186)),Listados!$U$3:$V$11,2,FALSE),"")</f>
        <v/>
      </c>
      <c r="AK186" s="270">
        <f t="shared" si="100"/>
        <v>100</v>
      </c>
      <c r="AL186" s="448"/>
      <c r="AM186" s="449"/>
      <c r="AN186" s="269">
        <f>+IF(AND(Q186="Preventivo",AM181="Fuerte"),2,IF(AND(Q186="Preventivo",AM181="Moderado"),1,0))</f>
        <v>0</v>
      </c>
      <c r="AO186" s="269">
        <f t="shared" si="101"/>
        <v>0</v>
      </c>
      <c r="AP186" s="212">
        <f>+K181-AN186</f>
        <v>4</v>
      </c>
      <c r="AQ186" s="212">
        <f>+M181-AO186</f>
        <v>3</v>
      </c>
      <c r="AR186" s="434"/>
      <c r="AS186" s="434"/>
      <c r="AT186" s="434"/>
      <c r="AU186" s="434"/>
      <c r="AV186" s="563"/>
      <c r="AW186" s="563"/>
      <c r="AX186" s="588"/>
      <c r="AY186" s="588"/>
      <c r="AZ186" s="563"/>
      <c r="BA186" s="563"/>
      <c r="BB186" s="591"/>
      <c r="BC186" s="563"/>
      <c r="BD186" s="563"/>
      <c r="BE186" s="544"/>
      <c r="BF186" s="563"/>
      <c r="BG186" s="563"/>
    </row>
    <row r="187" spans="1:59" ht="182">
      <c r="A187" s="485">
        <v>32</v>
      </c>
      <c r="B187" s="505" t="s">
        <v>101</v>
      </c>
      <c r="C187" s="512" t="s">
        <v>1454</v>
      </c>
      <c r="D187" s="507" t="s">
        <v>1303</v>
      </c>
      <c r="E187" s="245" t="s">
        <v>41</v>
      </c>
      <c r="F187" s="245" t="s">
        <v>189</v>
      </c>
      <c r="G187" s="229" t="s">
        <v>367</v>
      </c>
      <c r="H187" s="229" t="s">
        <v>16</v>
      </c>
      <c r="I187" s="229" t="s">
        <v>331</v>
      </c>
      <c r="J187" s="504" t="s">
        <v>31</v>
      </c>
      <c r="K187" s="493">
        <f>+VLOOKUP(J187,Listados!$K$8:$L$12,2,0)</f>
        <v>2</v>
      </c>
      <c r="L187" s="481" t="s">
        <v>32</v>
      </c>
      <c r="M187" s="493">
        <f>+VLOOKUP(L187,Listados!$K$13:$L$17,2,0)</f>
        <v>2</v>
      </c>
      <c r="N187" s="469" t="str">
        <f>IF(AND(J187&lt;&gt;"",L187&lt;&gt;""),VLOOKUP(J187&amp;L187,Listados!$M$3:$N$27,2,FALSE),"")</f>
        <v>Bajo</v>
      </c>
      <c r="O187" s="149" t="s">
        <v>1745</v>
      </c>
      <c r="P187" s="149" t="s">
        <v>367</v>
      </c>
      <c r="Q187" s="137" t="s">
        <v>20</v>
      </c>
      <c r="R187" s="207" t="s">
        <v>116</v>
      </c>
      <c r="S187" s="208">
        <f t="shared" ref="S187:S233" si="145">+IF(R187="si",15,"")</f>
        <v>15</v>
      </c>
      <c r="T187" s="207" t="s">
        <v>257</v>
      </c>
      <c r="U187" s="208">
        <f t="shared" ref="U187:U233" si="146">+IF(T187="si",15,"")</f>
        <v>15</v>
      </c>
      <c r="V187" s="207" t="s">
        <v>257</v>
      </c>
      <c r="W187" s="208">
        <f t="shared" ref="W187:W233" si="147">+IF(V187="si",15,"")</f>
        <v>15</v>
      </c>
      <c r="X187" s="207" t="s">
        <v>20</v>
      </c>
      <c r="Y187" s="208">
        <f t="shared" ref="Y187:Y233" si="148">+IF(X187="Preventivo",15,IF(X187="Detectivo",10,""))</f>
        <v>15</v>
      </c>
      <c r="Z187" s="207" t="s">
        <v>257</v>
      </c>
      <c r="AA187" s="208">
        <f t="shared" ref="AA187:AA233" si="149">+IF(Z187="si",15,"")</f>
        <v>15</v>
      </c>
      <c r="AB187" s="207" t="s">
        <v>257</v>
      </c>
      <c r="AC187" s="208">
        <f t="shared" ref="AC187:AC233" si="150">+IF(AB187="si",15,"")</f>
        <v>15</v>
      </c>
      <c r="AD187" s="207" t="s">
        <v>117</v>
      </c>
      <c r="AE187" s="208">
        <f t="shared" ref="AE187:AE233" si="151">+IF(AD187="Completa",10,IF(AD187="Incompleta",5,""))</f>
        <v>10</v>
      </c>
      <c r="AF187" s="270">
        <f t="shared" ref="AF187:AF233" si="152">IF((SUM(S187,U187,W187,Y187,AA187,AC187,AE187)=0),"",(SUM(S187,U187,W187,Y187,AA187,AC187,AE187)))</f>
        <v>100</v>
      </c>
      <c r="AG187" s="270" t="str">
        <f t="shared" ref="AG187:AG233" si="153">IF(AF187&lt;=85,"Débil",IF(AF187&lt;=95,"Moderado",IF(AF187=100,"Fuerte","")))</f>
        <v>Fuerte</v>
      </c>
      <c r="AH187" s="209" t="s">
        <v>118</v>
      </c>
      <c r="AI187" s="210" t="str">
        <f t="shared" ref="AI187:AI234" si="154">+IF(AH187="siempre","Fuerte",IF(AH187="Algunas veces","Moderado","Débil"))</f>
        <v>Fuerte</v>
      </c>
      <c r="AJ187" s="211" t="str">
        <f>IFERROR(VLOOKUP((CONCATENATE(AG187,AI187)),Listados!$U$3:$V$11,2,FALSE),"")</f>
        <v>Fuerte</v>
      </c>
      <c r="AK187" s="270">
        <f t="shared" ref="AK187:AK234" si="155">IF(ISBLANK(AJ187),"",IF(AJ187="Débil", 0, IF(AJ187="Moderado",50,100)))</f>
        <v>100</v>
      </c>
      <c r="AL187" s="446">
        <f>AVERAGE(AK187:AK192)</f>
        <v>91.666666666666671</v>
      </c>
      <c r="AM187" s="448" t="str">
        <f>IF(AL187&lt;=50, "Débil", IF(AL187&lt;=99,"Moderado","Fuerte"))</f>
        <v>Moderado</v>
      </c>
      <c r="AN187" s="269">
        <f>+IF(AND(Q187="Preventivo",AM187="Fuerte"),2,IF(AND(Q187="Preventivo",AM187="Moderado"),1,0))</f>
        <v>1</v>
      </c>
      <c r="AO187" s="269">
        <f t="shared" ref="AO187:AO239" si="156">+IF(AND(Q187="Detectivo",$AM$7="Fuerte"),2,IF(AND(Q187="Detectivo",$AM$7="Moderado"),1,IF(AND(Q187="Preventivo",$AM$7="Fuerte"),1,0)))</f>
        <v>0</v>
      </c>
      <c r="AP187" s="212">
        <f>+K187-AN187</f>
        <v>1</v>
      </c>
      <c r="AQ187" s="212">
        <f>+M187-AO187</f>
        <v>2</v>
      </c>
      <c r="AR187" s="435" t="str">
        <f>+VLOOKUP(MIN(AP187,AP188,AP189,AP190,AP191,AP192),Listados!$J$18:$K$24,2,TRUE)</f>
        <v>Rara Vez</v>
      </c>
      <c r="AS187" s="435" t="str">
        <f>+VLOOKUP(MIN(AQ187,AQ188,AQ189,AQ190,AQ191,AQ192),Listados!$J$27:$K$32,2,TRUE)</f>
        <v>Menor</v>
      </c>
      <c r="AT187" s="435" t="str">
        <f>IF(AND(AR187&lt;&gt;"",AS187&lt;&gt;""),VLOOKUP(AR187&amp;AS187,Listados!$M$3:$N$27,2,FALSE),"")</f>
        <v>Bajo</v>
      </c>
      <c r="AU187" s="435" t="str">
        <f>+VLOOKUP(AT187,Listados!$P$3:$Q$6,2,FALSE)</f>
        <v>Asumir el riesgo</v>
      </c>
      <c r="AV187" s="545" t="s">
        <v>1128</v>
      </c>
      <c r="AW187" s="545" t="s">
        <v>1089</v>
      </c>
      <c r="AX187" s="617">
        <v>44927</v>
      </c>
      <c r="AY187" s="617">
        <v>45291</v>
      </c>
      <c r="AZ187" s="545" t="s">
        <v>1130</v>
      </c>
      <c r="BA187" s="545" t="s">
        <v>1129</v>
      </c>
      <c r="BB187" s="618" t="s">
        <v>1453</v>
      </c>
      <c r="BC187" s="545" t="s">
        <v>1746</v>
      </c>
      <c r="BD187" s="545"/>
      <c r="BE187" s="592" t="s">
        <v>1530</v>
      </c>
      <c r="BF187" s="545" t="s">
        <v>1789</v>
      </c>
      <c r="BG187" s="545"/>
    </row>
    <row r="188" spans="1:59" ht="98">
      <c r="A188" s="437"/>
      <c r="B188" s="506"/>
      <c r="C188" s="429"/>
      <c r="D188" s="508"/>
      <c r="E188" s="267"/>
      <c r="F188" s="267"/>
      <c r="G188" s="265" t="s">
        <v>369</v>
      </c>
      <c r="H188" s="265" t="s">
        <v>30</v>
      </c>
      <c r="I188" s="265" t="s">
        <v>370</v>
      </c>
      <c r="J188" s="476"/>
      <c r="K188" s="467"/>
      <c r="L188" s="477"/>
      <c r="M188" s="467"/>
      <c r="N188" s="496"/>
      <c r="O188" s="137" t="s">
        <v>371</v>
      </c>
      <c r="P188" s="149" t="s">
        <v>369</v>
      </c>
      <c r="Q188" s="137" t="s">
        <v>20</v>
      </c>
      <c r="R188" s="207" t="s">
        <v>116</v>
      </c>
      <c r="S188" s="208">
        <f t="shared" si="145"/>
        <v>15</v>
      </c>
      <c r="T188" s="207" t="s">
        <v>257</v>
      </c>
      <c r="U188" s="208">
        <f t="shared" si="146"/>
        <v>15</v>
      </c>
      <c r="V188" s="207" t="s">
        <v>257</v>
      </c>
      <c r="W188" s="208">
        <f t="shared" si="147"/>
        <v>15</v>
      </c>
      <c r="X188" s="207" t="s">
        <v>20</v>
      </c>
      <c r="Y188" s="208">
        <f t="shared" si="148"/>
        <v>15</v>
      </c>
      <c r="Z188" s="207" t="s">
        <v>257</v>
      </c>
      <c r="AA188" s="208">
        <f t="shared" si="149"/>
        <v>15</v>
      </c>
      <c r="AB188" s="207" t="s">
        <v>257</v>
      </c>
      <c r="AC188" s="208">
        <f t="shared" si="150"/>
        <v>15</v>
      </c>
      <c r="AD188" s="207" t="s">
        <v>117</v>
      </c>
      <c r="AE188" s="208">
        <f t="shared" si="151"/>
        <v>10</v>
      </c>
      <c r="AF188" s="270">
        <f t="shared" si="152"/>
        <v>100</v>
      </c>
      <c r="AG188" s="270" t="str">
        <f t="shared" si="153"/>
        <v>Fuerte</v>
      </c>
      <c r="AH188" s="209" t="s">
        <v>118</v>
      </c>
      <c r="AI188" s="210" t="str">
        <f t="shared" si="154"/>
        <v>Fuerte</v>
      </c>
      <c r="AJ188" s="211" t="str">
        <f>IFERROR(VLOOKUP((CONCATENATE(AG188,AI188)),Listados!$U$3:$V$11,2,FALSE),"")</f>
        <v>Fuerte</v>
      </c>
      <c r="AK188" s="270">
        <f t="shared" si="155"/>
        <v>100</v>
      </c>
      <c r="AL188" s="447"/>
      <c r="AM188" s="449"/>
      <c r="AN188" s="269">
        <f>+IF(AND(Q188="Preventivo",AM187="Fuerte"),2,IF(AND(Q188="Preventivo",AM187="Moderado"),1,0))</f>
        <v>1</v>
      </c>
      <c r="AO188" s="269">
        <f t="shared" si="156"/>
        <v>0</v>
      </c>
      <c r="AP188" s="212">
        <f>+K187-AN188</f>
        <v>1</v>
      </c>
      <c r="AQ188" s="212">
        <f>+M187-AO188</f>
        <v>2</v>
      </c>
      <c r="AR188" s="433"/>
      <c r="AS188" s="433"/>
      <c r="AT188" s="433"/>
      <c r="AU188" s="433"/>
      <c r="AV188" s="546"/>
      <c r="AW188" s="546"/>
      <c r="AX188" s="546"/>
      <c r="AY188" s="546"/>
      <c r="AZ188" s="546"/>
      <c r="BA188" s="546"/>
      <c r="BB188" s="619"/>
      <c r="BC188" s="546"/>
      <c r="BD188" s="546"/>
      <c r="BE188" s="562"/>
      <c r="BF188" s="546"/>
      <c r="BG188" s="546"/>
    </row>
    <row r="189" spans="1:59" ht="98">
      <c r="A189" s="437"/>
      <c r="B189" s="439"/>
      <c r="C189" s="500"/>
      <c r="D189" s="502"/>
      <c r="E189" s="149"/>
      <c r="F189" s="149"/>
      <c r="G189" s="137" t="s">
        <v>372</v>
      </c>
      <c r="H189" s="137" t="s">
        <v>16</v>
      </c>
      <c r="I189" s="137" t="s">
        <v>373</v>
      </c>
      <c r="J189" s="495"/>
      <c r="K189" s="467"/>
      <c r="L189" s="478"/>
      <c r="M189" s="467"/>
      <c r="N189" s="497"/>
      <c r="O189" s="137" t="s">
        <v>374</v>
      </c>
      <c r="P189" s="149" t="s">
        <v>372</v>
      </c>
      <c r="Q189" s="137" t="s">
        <v>20</v>
      </c>
      <c r="R189" s="207" t="s">
        <v>116</v>
      </c>
      <c r="S189" s="208">
        <f t="shared" si="145"/>
        <v>15</v>
      </c>
      <c r="T189" s="207" t="s">
        <v>257</v>
      </c>
      <c r="U189" s="208">
        <f t="shared" si="146"/>
        <v>15</v>
      </c>
      <c r="V189" s="207" t="s">
        <v>257</v>
      </c>
      <c r="W189" s="208">
        <f t="shared" si="147"/>
        <v>15</v>
      </c>
      <c r="X189" s="207" t="s">
        <v>20</v>
      </c>
      <c r="Y189" s="208">
        <f t="shared" si="148"/>
        <v>15</v>
      </c>
      <c r="Z189" s="207" t="s">
        <v>257</v>
      </c>
      <c r="AA189" s="208">
        <f t="shared" si="149"/>
        <v>15</v>
      </c>
      <c r="AB189" s="207" t="s">
        <v>257</v>
      </c>
      <c r="AC189" s="208">
        <f t="shared" si="150"/>
        <v>15</v>
      </c>
      <c r="AD189" s="207" t="s">
        <v>117</v>
      </c>
      <c r="AE189" s="208">
        <f t="shared" si="151"/>
        <v>10</v>
      </c>
      <c r="AF189" s="270">
        <f t="shared" si="152"/>
        <v>100</v>
      </c>
      <c r="AG189" s="270" t="str">
        <f t="shared" si="153"/>
        <v>Fuerte</v>
      </c>
      <c r="AH189" s="209" t="s">
        <v>118</v>
      </c>
      <c r="AI189" s="210" t="str">
        <f t="shared" si="154"/>
        <v>Fuerte</v>
      </c>
      <c r="AJ189" s="211" t="str">
        <f>IFERROR(VLOOKUP((CONCATENATE(AG189,AI189)),Listados!$U$3:$V$11,2,FALSE),"")</f>
        <v>Fuerte</v>
      </c>
      <c r="AK189" s="270">
        <f t="shared" si="155"/>
        <v>100</v>
      </c>
      <c r="AL189" s="447"/>
      <c r="AM189" s="449"/>
      <c r="AN189" s="269">
        <f>+IF(AND(Q189="Preventivo",AM187="Fuerte"),2,IF(AND(Q189="Preventivo",AM187="Moderado"),1,0))</f>
        <v>1</v>
      </c>
      <c r="AO189" s="269">
        <f t="shared" si="156"/>
        <v>0</v>
      </c>
      <c r="AP189" s="212">
        <f>+K187-AN189</f>
        <v>1</v>
      </c>
      <c r="AQ189" s="212">
        <f>+M187-AO189</f>
        <v>2</v>
      </c>
      <c r="AR189" s="433"/>
      <c r="AS189" s="433"/>
      <c r="AT189" s="433"/>
      <c r="AU189" s="433"/>
      <c r="AV189" s="546"/>
      <c r="AW189" s="546"/>
      <c r="AX189" s="546"/>
      <c r="AY189" s="546"/>
      <c r="AZ189" s="546"/>
      <c r="BA189" s="546"/>
      <c r="BB189" s="619"/>
      <c r="BC189" s="546"/>
      <c r="BD189" s="546"/>
      <c r="BE189" s="562"/>
      <c r="BF189" s="546"/>
      <c r="BG189" s="546"/>
    </row>
    <row r="190" spans="1:59" ht="126">
      <c r="A190" s="437"/>
      <c r="B190" s="439"/>
      <c r="C190" s="500"/>
      <c r="D190" s="502"/>
      <c r="E190" s="149"/>
      <c r="F190" s="149"/>
      <c r="G190" s="137" t="s">
        <v>375</v>
      </c>
      <c r="H190" s="137" t="s">
        <v>16</v>
      </c>
      <c r="I190" s="137"/>
      <c r="J190" s="495"/>
      <c r="K190" s="467"/>
      <c r="L190" s="478"/>
      <c r="M190" s="467"/>
      <c r="N190" s="497"/>
      <c r="O190" s="137" t="s">
        <v>368</v>
      </c>
      <c r="P190" s="149" t="s">
        <v>375</v>
      </c>
      <c r="Q190" s="137" t="s">
        <v>20</v>
      </c>
      <c r="R190" s="207" t="s">
        <v>116</v>
      </c>
      <c r="S190" s="208">
        <f t="shared" si="145"/>
        <v>15</v>
      </c>
      <c r="T190" s="207" t="s">
        <v>257</v>
      </c>
      <c r="U190" s="208">
        <f t="shared" si="146"/>
        <v>15</v>
      </c>
      <c r="V190" s="207" t="s">
        <v>257</v>
      </c>
      <c r="W190" s="208">
        <f t="shared" si="147"/>
        <v>15</v>
      </c>
      <c r="X190" s="207" t="s">
        <v>20</v>
      </c>
      <c r="Y190" s="208">
        <f t="shared" si="148"/>
        <v>15</v>
      </c>
      <c r="Z190" s="207" t="s">
        <v>257</v>
      </c>
      <c r="AA190" s="208">
        <f t="shared" si="149"/>
        <v>15</v>
      </c>
      <c r="AB190" s="207" t="s">
        <v>257</v>
      </c>
      <c r="AC190" s="208">
        <f t="shared" si="150"/>
        <v>15</v>
      </c>
      <c r="AD190" s="207" t="s">
        <v>117</v>
      </c>
      <c r="AE190" s="208">
        <f t="shared" si="151"/>
        <v>10</v>
      </c>
      <c r="AF190" s="270">
        <f t="shared" si="152"/>
        <v>100</v>
      </c>
      <c r="AG190" s="270" t="str">
        <f t="shared" si="153"/>
        <v>Fuerte</v>
      </c>
      <c r="AH190" s="209" t="s">
        <v>118</v>
      </c>
      <c r="AI190" s="210" t="str">
        <f t="shared" si="154"/>
        <v>Fuerte</v>
      </c>
      <c r="AJ190" s="211" t="str">
        <f>IFERROR(VLOOKUP((CONCATENATE(AG190,AI190)),Listados!$U$3:$V$11,2,FALSE),"")</f>
        <v>Fuerte</v>
      </c>
      <c r="AK190" s="270">
        <f t="shared" si="155"/>
        <v>100</v>
      </c>
      <c r="AL190" s="447"/>
      <c r="AM190" s="449"/>
      <c r="AN190" s="269">
        <f>+IF(AND(Q190="Preventivo",AM187="Fuerte"),2,IF(AND(Q190="Preventivo",AM187="Moderado"),1,0))</f>
        <v>1</v>
      </c>
      <c r="AO190" s="269">
        <f t="shared" si="156"/>
        <v>0</v>
      </c>
      <c r="AP190" s="212">
        <f>+K187-AN190</f>
        <v>1</v>
      </c>
      <c r="AQ190" s="212">
        <f>+M187-AO190</f>
        <v>2</v>
      </c>
      <c r="AR190" s="433"/>
      <c r="AS190" s="433"/>
      <c r="AT190" s="433"/>
      <c r="AU190" s="433"/>
      <c r="AV190" s="546"/>
      <c r="AW190" s="546"/>
      <c r="AX190" s="546"/>
      <c r="AY190" s="546"/>
      <c r="AZ190" s="546"/>
      <c r="BA190" s="546"/>
      <c r="BB190" s="619"/>
      <c r="BC190" s="546"/>
      <c r="BD190" s="546"/>
      <c r="BE190" s="562"/>
      <c r="BF190" s="546"/>
      <c r="BG190" s="546"/>
    </row>
    <row r="191" spans="1:59" ht="84">
      <c r="A191" s="437"/>
      <c r="B191" s="439"/>
      <c r="C191" s="500"/>
      <c r="D191" s="502"/>
      <c r="E191" s="149"/>
      <c r="F191" s="149"/>
      <c r="G191" s="137"/>
      <c r="H191" s="137"/>
      <c r="I191" s="137"/>
      <c r="J191" s="495"/>
      <c r="K191" s="467"/>
      <c r="L191" s="478"/>
      <c r="M191" s="467"/>
      <c r="N191" s="497"/>
      <c r="O191" s="149" t="s">
        <v>1452</v>
      </c>
      <c r="P191" s="149" t="s">
        <v>375</v>
      </c>
      <c r="Q191" s="137" t="s">
        <v>123</v>
      </c>
      <c r="R191" s="231" t="s">
        <v>116</v>
      </c>
      <c r="S191" s="208">
        <f t="shared" si="145"/>
        <v>15</v>
      </c>
      <c r="T191" s="231" t="s">
        <v>257</v>
      </c>
      <c r="U191" s="208">
        <f t="shared" si="146"/>
        <v>15</v>
      </c>
      <c r="V191" s="207" t="s">
        <v>257</v>
      </c>
      <c r="W191" s="208">
        <f t="shared" si="147"/>
        <v>15</v>
      </c>
      <c r="X191" s="207" t="s">
        <v>123</v>
      </c>
      <c r="Y191" s="208">
        <f t="shared" si="148"/>
        <v>10</v>
      </c>
      <c r="Z191" s="207" t="s">
        <v>257</v>
      </c>
      <c r="AA191" s="208">
        <f t="shared" si="149"/>
        <v>15</v>
      </c>
      <c r="AB191" s="207" t="s">
        <v>257</v>
      </c>
      <c r="AC191" s="208">
        <f t="shared" si="150"/>
        <v>15</v>
      </c>
      <c r="AD191" s="207" t="s">
        <v>117</v>
      </c>
      <c r="AE191" s="208">
        <f t="shared" si="151"/>
        <v>10</v>
      </c>
      <c r="AF191" s="270">
        <f t="shared" si="152"/>
        <v>95</v>
      </c>
      <c r="AG191" s="270" t="str">
        <f t="shared" si="153"/>
        <v>Moderado</v>
      </c>
      <c r="AH191" s="209" t="s">
        <v>118</v>
      </c>
      <c r="AI191" s="210" t="str">
        <f t="shared" si="154"/>
        <v>Fuerte</v>
      </c>
      <c r="AJ191" s="211" t="str">
        <f>IFERROR(VLOOKUP((CONCATENATE(AG191,AI191)),Listados!$U$3:$V$11,2,FALSE),"")</f>
        <v>Moderado</v>
      </c>
      <c r="AK191" s="270">
        <f t="shared" si="155"/>
        <v>50</v>
      </c>
      <c r="AL191" s="447"/>
      <c r="AM191" s="449"/>
      <c r="AN191" s="269">
        <f>+IF(AND(Q191="Preventivo",AM187="Fuerte"),2,IF(AND(Q191="Preventivo",AM187="Moderado"),1,0))</f>
        <v>0</v>
      </c>
      <c r="AO191" s="269">
        <f t="shared" si="156"/>
        <v>0</v>
      </c>
      <c r="AP191" s="212">
        <f>+K187-AN191</f>
        <v>2</v>
      </c>
      <c r="AQ191" s="212">
        <f>+M187-AO191</f>
        <v>2</v>
      </c>
      <c r="AR191" s="433"/>
      <c r="AS191" s="433"/>
      <c r="AT191" s="433"/>
      <c r="AU191" s="433"/>
      <c r="AV191" s="546"/>
      <c r="AW191" s="546"/>
      <c r="AX191" s="546"/>
      <c r="AY191" s="546"/>
      <c r="AZ191" s="546"/>
      <c r="BA191" s="546"/>
      <c r="BB191" s="619"/>
      <c r="BC191" s="546"/>
      <c r="BD191" s="546"/>
      <c r="BE191" s="562"/>
      <c r="BF191" s="546"/>
      <c r="BG191" s="546"/>
    </row>
    <row r="192" spans="1:59" ht="14.15" customHeight="1">
      <c r="A192" s="437"/>
      <c r="B192" s="511"/>
      <c r="C192" s="513"/>
      <c r="D192" s="514"/>
      <c r="E192" s="276"/>
      <c r="F192" s="276"/>
      <c r="G192" s="277"/>
      <c r="H192" s="277"/>
      <c r="I192" s="277"/>
      <c r="J192" s="509"/>
      <c r="K192" s="468"/>
      <c r="L192" s="490"/>
      <c r="M192" s="468"/>
      <c r="N192" s="510"/>
      <c r="O192" s="149"/>
      <c r="P192" s="137"/>
      <c r="Q192" s="137"/>
      <c r="R192" s="231"/>
      <c r="S192" s="208" t="str">
        <f t="shared" si="145"/>
        <v/>
      </c>
      <c r="T192" s="231"/>
      <c r="U192" s="208" t="str">
        <f t="shared" si="146"/>
        <v/>
      </c>
      <c r="V192" s="207"/>
      <c r="W192" s="208" t="str">
        <f t="shared" si="147"/>
        <v/>
      </c>
      <c r="X192" s="207"/>
      <c r="Y192" s="208" t="str">
        <f t="shared" si="148"/>
        <v/>
      </c>
      <c r="Z192" s="207"/>
      <c r="AA192" s="208" t="str">
        <f t="shared" si="149"/>
        <v/>
      </c>
      <c r="AB192" s="207"/>
      <c r="AC192" s="208" t="str">
        <f t="shared" si="150"/>
        <v/>
      </c>
      <c r="AD192" s="207"/>
      <c r="AE192" s="208" t="str">
        <f t="shared" si="151"/>
        <v/>
      </c>
      <c r="AF192" s="270" t="str">
        <f t="shared" si="152"/>
        <v/>
      </c>
      <c r="AG192" s="270" t="str">
        <f t="shared" si="153"/>
        <v/>
      </c>
      <c r="AH192" s="209"/>
      <c r="AI192" s="210" t="str">
        <f t="shared" si="154"/>
        <v>Débil</v>
      </c>
      <c r="AJ192" s="211" t="str">
        <f>IFERROR(VLOOKUP((CONCATENATE(AG192,AI192)),Listados!$U$3:$V$11,2,FALSE),"")</f>
        <v/>
      </c>
      <c r="AK192" s="270">
        <f t="shared" si="155"/>
        <v>100</v>
      </c>
      <c r="AL192" s="448"/>
      <c r="AM192" s="449"/>
      <c r="AN192" s="269">
        <f>+IF(AND(Q192="Preventivo",AM187="Fuerte"),2,IF(AND(Q192="Preventivo",AM187="Moderado"),1,0))</f>
        <v>0</v>
      </c>
      <c r="AO192" s="269">
        <f t="shared" si="156"/>
        <v>0</v>
      </c>
      <c r="AP192" s="212">
        <f>+K187-AN192</f>
        <v>2</v>
      </c>
      <c r="AQ192" s="212">
        <f>+M187-AO192</f>
        <v>2</v>
      </c>
      <c r="AR192" s="434"/>
      <c r="AS192" s="434"/>
      <c r="AT192" s="434"/>
      <c r="AU192" s="434"/>
      <c r="AV192" s="547"/>
      <c r="AW192" s="547"/>
      <c r="AX192" s="547"/>
      <c r="AY192" s="547"/>
      <c r="AZ192" s="547"/>
      <c r="BA192" s="547"/>
      <c r="BB192" s="620"/>
      <c r="BC192" s="547"/>
      <c r="BD192" s="547"/>
      <c r="BE192" s="563"/>
      <c r="BF192" s="547"/>
      <c r="BG192" s="547"/>
    </row>
    <row r="193" spans="1:59" ht="140">
      <c r="A193" s="485">
        <v>33</v>
      </c>
      <c r="B193" s="505" t="s">
        <v>101</v>
      </c>
      <c r="C193" s="512" t="s">
        <v>1454</v>
      </c>
      <c r="D193" s="507" t="s">
        <v>1747</v>
      </c>
      <c r="E193" s="245" t="s">
        <v>15</v>
      </c>
      <c r="F193" s="245" t="s">
        <v>189</v>
      </c>
      <c r="G193" s="229" t="s">
        <v>376</v>
      </c>
      <c r="H193" s="229" t="s">
        <v>30</v>
      </c>
      <c r="I193" s="229" t="s">
        <v>377</v>
      </c>
      <c r="J193" s="504" t="s">
        <v>53</v>
      </c>
      <c r="K193" s="493">
        <f>+VLOOKUP(J193,Listados!$K$8:$L$12,2,0)</f>
        <v>4</v>
      </c>
      <c r="L193" s="481" t="s">
        <v>54</v>
      </c>
      <c r="M193" s="493">
        <f>+VLOOKUP(L193,Listados!$K$13:$L$17,2,0)</f>
        <v>4</v>
      </c>
      <c r="N193" s="469" t="str">
        <f>IF(AND(J193&lt;&gt;"",L193&lt;&gt;""),VLOOKUP(J193&amp;L193,Listados!$M$3:$N$27,2,FALSE),"")</f>
        <v>Extremo</v>
      </c>
      <c r="O193" s="149" t="s">
        <v>378</v>
      </c>
      <c r="P193" s="137" t="s">
        <v>376</v>
      </c>
      <c r="Q193" s="137" t="s">
        <v>20</v>
      </c>
      <c r="R193" s="207" t="s">
        <v>116</v>
      </c>
      <c r="S193" s="208">
        <f t="shared" si="145"/>
        <v>15</v>
      </c>
      <c r="T193" s="207" t="s">
        <v>257</v>
      </c>
      <c r="U193" s="208">
        <f t="shared" si="146"/>
        <v>15</v>
      </c>
      <c r="V193" s="207" t="s">
        <v>257</v>
      </c>
      <c r="W193" s="208">
        <f t="shared" si="147"/>
        <v>15</v>
      </c>
      <c r="X193" s="207" t="s">
        <v>20</v>
      </c>
      <c r="Y193" s="208">
        <f t="shared" si="148"/>
        <v>15</v>
      </c>
      <c r="Z193" s="207" t="s">
        <v>257</v>
      </c>
      <c r="AA193" s="208">
        <f t="shared" si="149"/>
        <v>15</v>
      </c>
      <c r="AB193" s="207" t="s">
        <v>257</v>
      </c>
      <c r="AC193" s="208">
        <f t="shared" si="150"/>
        <v>15</v>
      </c>
      <c r="AD193" s="207" t="s">
        <v>117</v>
      </c>
      <c r="AE193" s="208">
        <f t="shared" si="151"/>
        <v>10</v>
      </c>
      <c r="AF193" s="270">
        <f t="shared" si="152"/>
        <v>100</v>
      </c>
      <c r="AG193" s="270" t="str">
        <f t="shared" si="153"/>
        <v>Fuerte</v>
      </c>
      <c r="AH193" s="209" t="s">
        <v>118</v>
      </c>
      <c r="AI193" s="210" t="str">
        <f t="shared" si="154"/>
        <v>Fuerte</v>
      </c>
      <c r="AJ193" s="211" t="str">
        <f>IFERROR(VLOOKUP((CONCATENATE(AG193,AI193)),Listados!$U$3:$V$11,2,FALSE),"")</f>
        <v>Fuerte</v>
      </c>
      <c r="AK193" s="270">
        <f t="shared" si="155"/>
        <v>100</v>
      </c>
      <c r="AL193" s="446">
        <f>AVERAGE(AK193:AK198)</f>
        <v>100</v>
      </c>
      <c r="AM193" s="448" t="str">
        <f>IF(AL193&lt;=50, "Débil", IF(AL193&lt;=99,"Moderado","Fuerte"))</f>
        <v>Fuerte</v>
      </c>
      <c r="AN193" s="269">
        <f>+IF(AND(Q193="Preventivo",AM193="Fuerte"),2,IF(AND(Q193="Preventivo",AM193="Moderado"),1,0))</f>
        <v>2</v>
      </c>
      <c r="AO193" s="269">
        <f t="shared" si="156"/>
        <v>0</v>
      </c>
      <c r="AP193" s="212">
        <f>+K193-AN193</f>
        <v>2</v>
      </c>
      <c r="AQ193" s="212">
        <f>+M193-AO193</f>
        <v>4</v>
      </c>
      <c r="AR193" s="435" t="str">
        <f>+VLOOKUP(MIN(AP193,AP194,AP195,AP196,AP197,AP198),Listados!$J$18:$K$24,2,TRUE)</f>
        <v>Improbable</v>
      </c>
      <c r="AS193" s="435" t="str">
        <f>+VLOOKUP(MIN(AQ193,AQ194,AQ195,AQ196,AQ197,AQ198),Listados!$J$27:$K$32,2,TRUE)</f>
        <v>Mayor</v>
      </c>
      <c r="AT193" s="435" t="str">
        <f>IF(AND(AR193&lt;&gt;"",AS193&lt;&gt;""),VLOOKUP(AR193&amp;AS193,Listados!$M$3:$N$27,2,FALSE),"")</f>
        <v>Alto</v>
      </c>
      <c r="AU193" s="435" t="str">
        <f>+VLOOKUP(AT193,Listados!$P$3:$Q$6,2,FALSE)</f>
        <v>Reducir el riesgo</v>
      </c>
      <c r="AV193" s="585" t="s">
        <v>1134</v>
      </c>
      <c r="AW193" s="585" t="s">
        <v>1131</v>
      </c>
      <c r="AX193" s="586">
        <v>44927</v>
      </c>
      <c r="AY193" s="586">
        <v>45291</v>
      </c>
      <c r="AZ193" s="585" t="s">
        <v>1132</v>
      </c>
      <c r="BA193" s="585" t="s">
        <v>1133</v>
      </c>
      <c r="BB193" s="589" t="s">
        <v>1456</v>
      </c>
      <c r="BC193" s="585" t="s">
        <v>1749</v>
      </c>
      <c r="BD193" s="585"/>
      <c r="BE193" s="592" t="s">
        <v>1531</v>
      </c>
      <c r="BF193" s="545" t="s">
        <v>1789</v>
      </c>
      <c r="BG193" s="585"/>
    </row>
    <row r="194" spans="1:59" ht="140">
      <c r="A194" s="437"/>
      <c r="B194" s="506"/>
      <c r="C194" s="429"/>
      <c r="D194" s="508"/>
      <c r="E194" s="267"/>
      <c r="F194" s="267"/>
      <c r="G194" s="265" t="s">
        <v>379</v>
      </c>
      <c r="H194" s="265" t="s">
        <v>16</v>
      </c>
      <c r="I194" s="265" t="s">
        <v>380</v>
      </c>
      <c r="J194" s="476"/>
      <c r="K194" s="467"/>
      <c r="L194" s="477"/>
      <c r="M194" s="467"/>
      <c r="N194" s="496"/>
      <c r="O194" s="137" t="s">
        <v>381</v>
      </c>
      <c r="P194" s="137" t="s">
        <v>379</v>
      </c>
      <c r="Q194" s="137" t="s">
        <v>20</v>
      </c>
      <c r="R194" s="207" t="s">
        <v>116</v>
      </c>
      <c r="S194" s="208">
        <f t="shared" si="145"/>
        <v>15</v>
      </c>
      <c r="T194" s="207" t="s">
        <v>257</v>
      </c>
      <c r="U194" s="208">
        <f t="shared" si="146"/>
        <v>15</v>
      </c>
      <c r="V194" s="207" t="s">
        <v>257</v>
      </c>
      <c r="W194" s="208">
        <f t="shared" si="147"/>
        <v>15</v>
      </c>
      <c r="X194" s="207" t="s">
        <v>20</v>
      </c>
      <c r="Y194" s="208">
        <f t="shared" si="148"/>
        <v>15</v>
      </c>
      <c r="Z194" s="207" t="s">
        <v>257</v>
      </c>
      <c r="AA194" s="208">
        <f t="shared" si="149"/>
        <v>15</v>
      </c>
      <c r="AB194" s="207" t="s">
        <v>257</v>
      </c>
      <c r="AC194" s="208">
        <f t="shared" si="150"/>
        <v>15</v>
      </c>
      <c r="AD194" s="207" t="s">
        <v>117</v>
      </c>
      <c r="AE194" s="208">
        <f t="shared" si="151"/>
        <v>10</v>
      </c>
      <c r="AF194" s="270">
        <f t="shared" si="152"/>
        <v>100</v>
      </c>
      <c r="AG194" s="270" t="str">
        <f t="shared" si="153"/>
        <v>Fuerte</v>
      </c>
      <c r="AH194" s="209" t="s">
        <v>118</v>
      </c>
      <c r="AI194" s="210" t="str">
        <f t="shared" si="154"/>
        <v>Fuerte</v>
      </c>
      <c r="AJ194" s="211" t="str">
        <f>IFERROR(VLOOKUP((CONCATENATE(AG194,AI194)),Listados!$U$3:$V$11,2,FALSE),"")</f>
        <v>Fuerte</v>
      </c>
      <c r="AK194" s="270">
        <f t="shared" si="155"/>
        <v>100</v>
      </c>
      <c r="AL194" s="447"/>
      <c r="AM194" s="449"/>
      <c r="AN194" s="269">
        <f>+IF(AND(Q194="Preventivo",AM193="Fuerte"),2,IF(AND(Q194="Preventivo",AM193="Moderado"),1,0))</f>
        <v>2</v>
      </c>
      <c r="AO194" s="269">
        <f t="shared" si="156"/>
        <v>0</v>
      </c>
      <c r="AP194" s="212">
        <f>+K193-AN194</f>
        <v>2</v>
      </c>
      <c r="AQ194" s="212">
        <f>+M193-AO194</f>
        <v>4</v>
      </c>
      <c r="AR194" s="433"/>
      <c r="AS194" s="433"/>
      <c r="AT194" s="433"/>
      <c r="AU194" s="433"/>
      <c r="AV194" s="562"/>
      <c r="AW194" s="562"/>
      <c r="AX194" s="587"/>
      <c r="AY194" s="587"/>
      <c r="AZ194" s="562"/>
      <c r="BA194" s="562"/>
      <c r="BB194" s="590"/>
      <c r="BC194" s="562"/>
      <c r="BD194" s="562"/>
      <c r="BE194" s="562"/>
      <c r="BF194" s="546"/>
      <c r="BG194" s="562"/>
    </row>
    <row r="195" spans="1:59" ht="98">
      <c r="A195" s="437"/>
      <c r="B195" s="439"/>
      <c r="C195" s="500"/>
      <c r="D195" s="502"/>
      <c r="E195" s="149"/>
      <c r="F195" s="149"/>
      <c r="G195" s="137" t="s">
        <v>382</v>
      </c>
      <c r="H195" s="137" t="s">
        <v>16</v>
      </c>
      <c r="I195" s="137" t="s">
        <v>383</v>
      </c>
      <c r="J195" s="495"/>
      <c r="K195" s="467"/>
      <c r="L195" s="478"/>
      <c r="M195" s="467"/>
      <c r="N195" s="497"/>
      <c r="O195" s="137" t="s">
        <v>384</v>
      </c>
      <c r="P195" s="137" t="s">
        <v>382</v>
      </c>
      <c r="Q195" s="137" t="s">
        <v>123</v>
      </c>
      <c r="R195" s="207" t="s">
        <v>116</v>
      </c>
      <c r="S195" s="208">
        <f t="shared" si="145"/>
        <v>15</v>
      </c>
      <c r="T195" s="207" t="s">
        <v>257</v>
      </c>
      <c r="U195" s="208">
        <f t="shared" si="146"/>
        <v>15</v>
      </c>
      <c r="V195" s="207" t="s">
        <v>257</v>
      </c>
      <c r="W195" s="208">
        <f t="shared" si="147"/>
        <v>15</v>
      </c>
      <c r="X195" s="207" t="s">
        <v>20</v>
      </c>
      <c r="Y195" s="208">
        <f t="shared" si="148"/>
        <v>15</v>
      </c>
      <c r="Z195" s="207" t="s">
        <v>257</v>
      </c>
      <c r="AA195" s="208">
        <f t="shared" si="149"/>
        <v>15</v>
      </c>
      <c r="AB195" s="207" t="s">
        <v>257</v>
      </c>
      <c r="AC195" s="208">
        <f t="shared" si="150"/>
        <v>15</v>
      </c>
      <c r="AD195" s="207" t="s">
        <v>117</v>
      </c>
      <c r="AE195" s="208">
        <f t="shared" si="151"/>
        <v>10</v>
      </c>
      <c r="AF195" s="270">
        <f t="shared" si="152"/>
        <v>100</v>
      </c>
      <c r="AG195" s="270" t="str">
        <f t="shared" si="153"/>
        <v>Fuerte</v>
      </c>
      <c r="AH195" s="209" t="s">
        <v>118</v>
      </c>
      <c r="AI195" s="210" t="str">
        <f t="shared" si="154"/>
        <v>Fuerte</v>
      </c>
      <c r="AJ195" s="211" t="str">
        <f>IFERROR(VLOOKUP((CONCATENATE(AG195,AI195)),Listados!$U$3:$V$11,2,FALSE),"")</f>
        <v>Fuerte</v>
      </c>
      <c r="AK195" s="270">
        <f t="shared" si="155"/>
        <v>100</v>
      </c>
      <c r="AL195" s="447"/>
      <c r="AM195" s="449"/>
      <c r="AN195" s="269">
        <f>+IF(AND(Q195="Preventivo",AM193="Fuerte"),2,IF(AND(Q195="Preventivo",AM193="Moderado"),1,0))</f>
        <v>0</v>
      </c>
      <c r="AO195" s="269">
        <f t="shared" si="156"/>
        <v>0</v>
      </c>
      <c r="AP195" s="212">
        <f>+K193-AN195</f>
        <v>4</v>
      </c>
      <c r="AQ195" s="212">
        <f>+M193-AO195</f>
        <v>4</v>
      </c>
      <c r="AR195" s="433"/>
      <c r="AS195" s="433"/>
      <c r="AT195" s="433"/>
      <c r="AU195" s="433"/>
      <c r="AV195" s="562"/>
      <c r="AW195" s="562"/>
      <c r="AX195" s="587"/>
      <c r="AY195" s="587"/>
      <c r="AZ195" s="562"/>
      <c r="BA195" s="562"/>
      <c r="BB195" s="590"/>
      <c r="BC195" s="562"/>
      <c r="BD195" s="562"/>
      <c r="BE195" s="562"/>
      <c r="BF195" s="546"/>
      <c r="BG195" s="562"/>
    </row>
    <row r="196" spans="1:59" ht="98">
      <c r="A196" s="437"/>
      <c r="B196" s="439"/>
      <c r="C196" s="500"/>
      <c r="D196" s="502"/>
      <c r="E196" s="149"/>
      <c r="F196" s="149"/>
      <c r="G196" s="137"/>
      <c r="H196" s="137"/>
      <c r="I196" s="137" t="s">
        <v>373</v>
      </c>
      <c r="J196" s="495"/>
      <c r="K196" s="467"/>
      <c r="L196" s="478"/>
      <c r="M196" s="467"/>
      <c r="N196" s="497"/>
      <c r="O196" s="137" t="s">
        <v>385</v>
      </c>
      <c r="P196" s="137" t="s">
        <v>382</v>
      </c>
      <c r="Q196" s="137" t="s">
        <v>20</v>
      </c>
      <c r="R196" s="207" t="s">
        <v>116</v>
      </c>
      <c r="S196" s="208">
        <f t="shared" si="145"/>
        <v>15</v>
      </c>
      <c r="T196" s="207" t="s">
        <v>257</v>
      </c>
      <c r="U196" s="208">
        <f t="shared" si="146"/>
        <v>15</v>
      </c>
      <c r="V196" s="207" t="s">
        <v>257</v>
      </c>
      <c r="W196" s="208">
        <f t="shared" si="147"/>
        <v>15</v>
      </c>
      <c r="X196" s="207" t="s">
        <v>20</v>
      </c>
      <c r="Y196" s="208">
        <f t="shared" si="148"/>
        <v>15</v>
      </c>
      <c r="Z196" s="207" t="s">
        <v>257</v>
      </c>
      <c r="AA196" s="208">
        <f t="shared" si="149"/>
        <v>15</v>
      </c>
      <c r="AB196" s="207" t="s">
        <v>257</v>
      </c>
      <c r="AC196" s="208">
        <f t="shared" si="150"/>
        <v>15</v>
      </c>
      <c r="AD196" s="207" t="s">
        <v>117</v>
      </c>
      <c r="AE196" s="208">
        <f t="shared" si="151"/>
        <v>10</v>
      </c>
      <c r="AF196" s="270">
        <f t="shared" si="152"/>
        <v>100</v>
      </c>
      <c r="AG196" s="270" t="str">
        <f t="shared" si="153"/>
        <v>Fuerte</v>
      </c>
      <c r="AH196" s="209" t="s">
        <v>118</v>
      </c>
      <c r="AI196" s="210" t="str">
        <f t="shared" si="154"/>
        <v>Fuerte</v>
      </c>
      <c r="AJ196" s="211" t="str">
        <f>IFERROR(VLOOKUP((CONCATENATE(AG196,AI196)),Listados!$U$3:$V$11,2,FALSE),"")</f>
        <v>Fuerte</v>
      </c>
      <c r="AK196" s="270">
        <f t="shared" si="155"/>
        <v>100</v>
      </c>
      <c r="AL196" s="447"/>
      <c r="AM196" s="449"/>
      <c r="AN196" s="269">
        <f>+IF(AND(Q196="Preventivo",AM193="Fuerte"),2,IF(AND(Q196="Preventivo",AM193="Moderado"),1,0))</f>
        <v>2</v>
      </c>
      <c r="AO196" s="269">
        <f t="shared" si="156"/>
        <v>0</v>
      </c>
      <c r="AP196" s="212">
        <f>+K193-AN196</f>
        <v>2</v>
      </c>
      <c r="AQ196" s="212">
        <f>+M193-AO196</f>
        <v>4</v>
      </c>
      <c r="AR196" s="433"/>
      <c r="AS196" s="433"/>
      <c r="AT196" s="433"/>
      <c r="AU196" s="433"/>
      <c r="AV196" s="562"/>
      <c r="AW196" s="562"/>
      <c r="AX196" s="587"/>
      <c r="AY196" s="587"/>
      <c r="AZ196" s="562"/>
      <c r="BA196" s="562"/>
      <c r="BB196" s="590"/>
      <c r="BC196" s="562"/>
      <c r="BD196" s="562"/>
      <c r="BE196" s="562"/>
      <c r="BF196" s="546"/>
      <c r="BG196" s="562"/>
    </row>
    <row r="197" spans="1:59" ht="56">
      <c r="A197" s="437"/>
      <c r="B197" s="439"/>
      <c r="C197" s="500"/>
      <c r="D197" s="502"/>
      <c r="E197" s="149"/>
      <c r="F197" s="149"/>
      <c r="G197" s="137"/>
      <c r="H197" s="137"/>
      <c r="I197" s="137"/>
      <c r="J197" s="495"/>
      <c r="K197" s="467"/>
      <c r="L197" s="478"/>
      <c r="M197" s="467"/>
      <c r="N197" s="497"/>
      <c r="O197" s="149" t="s">
        <v>1455</v>
      </c>
      <c r="P197" s="137" t="s">
        <v>382</v>
      </c>
      <c r="Q197" s="137" t="s">
        <v>20</v>
      </c>
      <c r="R197" s="207" t="s">
        <v>116</v>
      </c>
      <c r="S197" s="208">
        <f t="shared" ref="S197:S198" si="157">+IF(R197="si",15,"")</f>
        <v>15</v>
      </c>
      <c r="T197" s="207" t="s">
        <v>257</v>
      </c>
      <c r="U197" s="208">
        <f t="shared" ref="U197:U198" si="158">+IF(T197="si",15,"")</f>
        <v>15</v>
      </c>
      <c r="V197" s="207" t="s">
        <v>257</v>
      </c>
      <c r="W197" s="208">
        <f t="shared" ref="W197:W198" si="159">+IF(V197="si",15,"")</f>
        <v>15</v>
      </c>
      <c r="X197" s="207" t="s">
        <v>20</v>
      </c>
      <c r="Y197" s="208">
        <f t="shared" ref="Y197:Y198" si="160">+IF(X197="Preventivo",15,IF(X197="Detectivo",10,""))</f>
        <v>15</v>
      </c>
      <c r="Z197" s="207" t="s">
        <v>257</v>
      </c>
      <c r="AA197" s="208">
        <f t="shared" ref="AA197:AA198" si="161">+IF(Z197="si",15,"")</f>
        <v>15</v>
      </c>
      <c r="AB197" s="207" t="s">
        <v>257</v>
      </c>
      <c r="AC197" s="208">
        <f t="shared" ref="AC197:AC198" si="162">+IF(AB197="si",15,"")</f>
        <v>15</v>
      </c>
      <c r="AD197" s="207" t="s">
        <v>117</v>
      </c>
      <c r="AE197" s="208">
        <f t="shared" si="151"/>
        <v>10</v>
      </c>
      <c r="AF197" s="270">
        <f t="shared" si="152"/>
        <v>100</v>
      </c>
      <c r="AG197" s="270" t="str">
        <f t="shared" si="153"/>
        <v>Fuerte</v>
      </c>
      <c r="AH197" s="209" t="s">
        <v>118</v>
      </c>
      <c r="AI197" s="210" t="str">
        <f t="shared" si="154"/>
        <v>Fuerte</v>
      </c>
      <c r="AJ197" s="211" t="str">
        <f>IFERROR(VLOOKUP((CONCATENATE(AG197,AI197)),Listados!$U$3:$V$11,2,FALSE),"")</f>
        <v>Fuerte</v>
      </c>
      <c r="AK197" s="270">
        <f t="shared" si="155"/>
        <v>100</v>
      </c>
      <c r="AL197" s="447"/>
      <c r="AM197" s="449"/>
      <c r="AN197" s="269">
        <f>+IF(AND(Q197="Preventivo",AM193="Fuerte"),2,IF(AND(Q197="Preventivo",AM193="Moderado"),1,0))</f>
        <v>2</v>
      </c>
      <c r="AO197" s="269">
        <f t="shared" si="156"/>
        <v>0</v>
      </c>
      <c r="AP197" s="212">
        <f>+K193-AN197</f>
        <v>2</v>
      </c>
      <c r="AQ197" s="212">
        <f>+M193-AO197</f>
        <v>4</v>
      </c>
      <c r="AR197" s="433"/>
      <c r="AS197" s="433"/>
      <c r="AT197" s="433"/>
      <c r="AU197" s="433"/>
      <c r="AV197" s="562"/>
      <c r="AW197" s="562"/>
      <c r="AX197" s="587"/>
      <c r="AY197" s="587"/>
      <c r="AZ197" s="562"/>
      <c r="BA197" s="562"/>
      <c r="BB197" s="590"/>
      <c r="BC197" s="562"/>
      <c r="BD197" s="562"/>
      <c r="BE197" s="562"/>
      <c r="BF197" s="546"/>
      <c r="BG197" s="562"/>
    </row>
    <row r="198" spans="1:59" ht="112">
      <c r="A198" s="437"/>
      <c r="B198" s="511"/>
      <c r="C198" s="513"/>
      <c r="D198" s="514"/>
      <c r="E198" s="276"/>
      <c r="F198" s="276"/>
      <c r="G198" s="277"/>
      <c r="H198" s="277"/>
      <c r="I198" s="277"/>
      <c r="J198" s="509"/>
      <c r="K198" s="468"/>
      <c r="L198" s="490"/>
      <c r="M198" s="468"/>
      <c r="N198" s="510"/>
      <c r="O198" s="149" t="s">
        <v>1748</v>
      </c>
      <c r="P198" s="137" t="s">
        <v>382</v>
      </c>
      <c r="Q198" s="137" t="s">
        <v>123</v>
      </c>
      <c r="R198" s="207" t="s">
        <v>116</v>
      </c>
      <c r="S198" s="208">
        <f t="shared" si="157"/>
        <v>15</v>
      </c>
      <c r="T198" s="207" t="s">
        <v>257</v>
      </c>
      <c r="U198" s="208">
        <f t="shared" si="158"/>
        <v>15</v>
      </c>
      <c r="V198" s="207" t="s">
        <v>257</v>
      </c>
      <c r="W198" s="208">
        <f t="shared" si="159"/>
        <v>15</v>
      </c>
      <c r="X198" s="207" t="s">
        <v>20</v>
      </c>
      <c r="Y198" s="208">
        <f t="shared" si="160"/>
        <v>15</v>
      </c>
      <c r="Z198" s="207" t="s">
        <v>257</v>
      </c>
      <c r="AA198" s="208">
        <f t="shared" si="161"/>
        <v>15</v>
      </c>
      <c r="AB198" s="207" t="s">
        <v>257</v>
      </c>
      <c r="AC198" s="208">
        <f t="shared" si="162"/>
        <v>15</v>
      </c>
      <c r="AD198" s="207" t="s">
        <v>117</v>
      </c>
      <c r="AE198" s="208">
        <f t="shared" si="151"/>
        <v>10</v>
      </c>
      <c r="AF198" s="270">
        <f t="shared" si="152"/>
        <v>100</v>
      </c>
      <c r="AG198" s="270" t="str">
        <f t="shared" si="153"/>
        <v>Fuerte</v>
      </c>
      <c r="AH198" s="209" t="s">
        <v>118</v>
      </c>
      <c r="AI198" s="210" t="str">
        <f t="shared" si="154"/>
        <v>Fuerte</v>
      </c>
      <c r="AJ198" s="211" t="str">
        <f>IFERROR(VLOOKUP((CONCATENATE(AG198,AI198)),Listados!$U$3:$V$11,2,FALSE),"")</f>
        <v>Fuerte</v>
      </c>
      <c r="AK198" s="270">
        <f t="shared" si="155"/>
        <v>100</v>
      </c>
      <c r="AL198" s="448"/>
      <c r="AM198" s="449"/>
      <c r="AN198" s="269">
        <f>+IF(AND(Q198="Preventivo",AM193="Fuerte"),2,IF(AND(Q198="Preventivo",AM193="Moderado"),1,0))</f>
        <v>0</v>
      </c>
      <c r="AO198" s="269">
        <f t="shared" si="156"/>
        <v>0</v>
      </c>
      <c r="AP198" s="212">
        <f>+K193-AN198</f>
        <v>4</v>
      </c>
      <c r="AQ198" s="212">
        <f>+M193-AO198</f>
        <v>4</v>
      </c>
      <c r="AR198" s="434"/>
      <c r="AS198" s="434"/>
      <c r="AT198" s="434"/>
      <c r="AU198" s="434"/>
      <c r="AV198" s="563"/>
      <c r="AW198" s="563"/>
      <c r="AX198" s="588"/>
      <c r="AY198" s="588"/>
      <c r="AZ198" s="563"/>
      <c r="BA198" s="563"/>
      <c r="BB198" s="591"/>
      <c r="BC198" s="563"/>
      <c r="BD198" s="563"/>
      <c r="BE198" s="563"/>
      <c r="BF198" s="547"/>
      <c r="BG198" s="563"/>
    </row>
    <row r="199" spans="1:59" ht="275.5" customHeight="1">
      <c r="A199" s="485">
        <v>34</v>
      </c>
      <c r="B199" s="505" t="s">
        <v>101</v>
      </c>
      <c r="C199" s="512" t="s">
        <v>1454</v>
      </c>
      <c r="D199" s="507" t="s">
        <v>1304</v>
      </c>
      <c r="E199" s="245" t="s">
        <v>29</v>
      </c>
      <c r="F199" s="245" t="s">
        <v>189</v>
      </c>
      <c r="G199" s="229" t="s">
        <v>386</v>
      </c>
      <c r="H199" s="229" t="s">
        <v>16</v>
      </c>
      <c r="I199" s="229" t="s">
        <v>387</v>
      </c>
      <c r="J199" s="504" t="s">
        <v>31</v>
      </c>
      <c r="K199" s="493">
        <f>+VLOOKUP(J199,Listados!$K$8:$L$12,2,0)</f>
        <v>2</v>
      </c>
      <c r="L199" s="481" t="s">
        <v>32</v>
      </c>
      <c r="M199" s="493">
        <f>+VLOOKUP(L199,Listados!$K$13:$L$17,2,0)</f>
        <v>2</v>
      </c>
      <c r="N199" s="469" t="str">
        <f>IF(AND(J199&lt;&gt;"",L199&lt;&gt;""),VLOOKUP(J199&amp;L199,Listados!$M$3:$N$27,2,FALSE),"")</f>
        <v>Bajo</v>
      </c>
      <c r="O199" s="149" t="s">
        <v>388</v>
      </c>
      <c r="P199" s="137" t="s">
        <v>386</v>
      </c>
      <c r="Q199" s="137" t="s">
        <v>20</v>
      </c>
      <c r="R199" s="207" t="s">
        <v>116</v>
      </c>
      <c r="S199" s="208">
        <f t="shared" si="145"/>
        <v>15</v>
      </c>
      <c r="T199" s="207" t="s">
        <v>257</v>
      </c>
      <c r="U199" s="208">
        <f t="shared" si="146"/>
        <v>15</v>
      </c>
      <c r="V199" s="207" t="s">
        <v>257</v>
      </c>
      <c r="W199" s="208">
        <f t="shared" si="147"/>
        <v>15</v>
      </c>
      <c r="X199" s="207" t="s">
        <v>20</v>
      </c>
      <c r="Y199" s="208">
        <f t="shared" si="148"/>
        <v>15</v>
      </c>
      <c r="Z199" s="207" t="s">
        <v>257</v>
      </c>
      <c r="AA199" s="208">
        <f t="shared" si="149"/>
        <v>15</v>
      </c>
      <c r="AB199" s="207" t="s">
        <v>257</v>
      </c>
      <c r="AC199" s="208">
        <f t="shared" si="150"/>
        <v>15</v>
      </c>
      <c r="AD199" s="207" t="s">
        <v>117</v>
      </c>
      <c r="AE199" s="208">
        <f t="shared" si="151"/>
        <v>10</v>
      </c>
      <c r="AF199" s="270">
        <f t="shared" si="152"/>
        <v>100</v>
      </c>
      <c r="AG199" s="270" t="str">
        <f t="shared" si="153"/>
        <v>Fuerte</v>
      </c>
      <c r="AH199" s="209" t="s">
        <v>118</v>
      </c>
      <c r="AI199" s="210" t="str">
        <f t="shared" si="154"/>
        <v>Fuerte</v>
      </c>
      <c r="AJ199" s="211" t="str">
        <f>IFERROR(VLOOKUP((CONCATENATE(AG199,AI199)),Listados!$U$3:$V$11,2,FALSE),"")</f>
        <v>Fuerte</v>
      </c>
      <c r="AK199" s="270">
        <f t="shared" si="155"/>
        <v>100</v>
      </c>
      <c r="AL199" s="446">
        <f>AVERAGE(AK199:AK204)</f>
        <v>100</v>
      </c>
      <c r="AM199" s="448" t="str">
        <f>IF(AL199&lt;=50, "Débil", IF(AL199&lt;=99,"Moderado","Fuerte"))</f>
        <v>Fuerte</v>
      </c>
      <c r="AN199" s="269">
        <f>+IF(AND(Q199="Preventivo",AM199="Fuerte"),2,IF(AND(Q199="Preventivo",AM199="Moderado"),1,0))</f>
        <v>2</v>
      </c>
      <c r="AO199" s="269">
        <f t="shared" si="156"/>
        <v>0</v>
      </c>
      <c r="AP199" s="212">
        <f>+K199-AN199</f>
        <v>0</v>
      </c>
      <c r="AQ199" s="212">
        <f>+M199-AO199</f>
        <v>2</v>
      </c>
      <c r="AR199" s="435" t="str">
        <f>+VLOOKUP(MIN(AP199,AP200,AP201,AP202,AP203,AP204),Listados!$J$18:$K$24,2,TRUE)</f>
        <v>Rara Vez</v>
      </c>
      <c r="AS199" s="435" t="str">
        <f>+VLOOKUP(MIN(AQ199,AQ200,AQ201,AQ202,AQ203,AQ204),Listados!$J$27:$K$32,2,TRUE)</f>
        <v>Menor</v>
      </c>
      <c r="AT199" s="435" t="str">
        <f>IF(AND(AR199&lt;&gt;"",AS199&lt;&gt;""),VLOOKUP(AR199&amp;AS199,Listados!$M$3:$N$27,2,FALSE),"")</f>
        <v>Bajo</v>
      </c>
      <c r="AU199" s="435" t="str">
        <f>+VLOOKUP(AT199,Listados!$P$3:$Q$6,2,FALSE)</f>
        <v>Asumir el riesgo</v>
      </c>
      <c r="AV199" s="585" t="s">
        <v>1135</v>
      </c>
      <c r="AW199" s="585" t="s">
        <v>1137</v>
      </c>
      <c r="AX199" s="585" t="s">
        <v>1046</v>
      </c>
      <c r="AY199" s="585" t="s">
        <v>1046</v>
      </c>
      <c r="AZ199" s="585" t="s">
        <v>1138</v>
      </c>
      <c r="BA199" s="585" t="s">
        <v>1136</v>
      </c>
      <c r="BB199" s="589" t="s">
        <v>1457</v>
      </c>
      <c r="BC199" s="585" t="s">
        <v>1750</v>
      </c>
      <c r="BD199" s="585"/>
      <c r="BE199" s="592" t="s">
        <v>1531</v>
      </c>
      <c r="BF199" s="545" t="s">
        <v>1790</v>
      </c>
      <c r="BG199" s="585"/>
    </row>
    <row r="200" spans="1:59" ht="14.15" customHeight="1">
      <c r="A200" s="437"/>
      <c r="B200" s="506"/>
      <c r="C200" s="429"/>
      <c r="D200" s="508"/>
      <c r="E200" s="267"/>
      <c r="F200" s="267"/>
      <c r="G200" s="265"/>
      <c r="H200" s="265"/>
      <c r="I200" s="265"/>
      <c r="J200" s="476"/>
      <c r="K200" s="467"/>
      <c r="L200" s="477"/>
      <c r="M200" s="467"/>
      <c r="N200" s="496"/>
      <c r="O200" s="149"/>
      <c r="P200" s="149"/>
      <c r="Q200" s="137"/>
      <c r="R200" s="231"/>
      <c r="S200" s="208" t="str">
        <f t="shared" si="145"/>
        <v/>
      </c>
      <c r="T200" s="231"/>
      <c r="U200" s="208" t="str">
        <f t="shared" si="146"/>
        <v/>
      </c>
      <c r="V200" s="207"/>
      <c r="W200" s="208" t="str">
        <f t="shared" si="147"/>
        <v/>
      </c>
      <c r="X200" s="207"/>
      <c r="Y200" s="208" t="str">
        <f t="shared" si="148"/>
        <v/>
      </c>
      <c r="Z200" s="207"/>
      <c r="AA200" s="208" t="str">
        <f t="shared" si="149"/>
        <v/>
      </c>
      <c r="AB200" s="207"/>
      <c r="AC200" s="208" t="str">
        <f t="shared" si="150"/>
        <v/>
      </c>
      <c r="AD200" s="207"/>
      <c r="AE200" s="208" t="str">
        <f t="shared" si="151"/>
        <v/>
      </c>
      <c r="AF200" s="270" t="str">
        <f t="shared" si="152"/>
        <v/>
      </c>
      <c r="AG200" s="270" t="str">
        <f t="shared" si="153"/>
        <v/>
      </c>
      <c r="AH200" s="209"/>
      <c r="AI200" s="210" t="str">
        <f t="shared" si="154"/>
        <v>Débil</v>
      </c>
      <c r="AJ200" s="211" t="str">
        <f>IFERROR(VLOOKUP((CONCATENATE(AG200,AI200)),Listados!$U$3:$V$11,2,FALSE),"")</f>
        <v/>
      </c>
      <c r="AK200" s="270">
        <f t="shared" si="155"/>
        <v>100</v>
      </c>
      <c r="AL200" s="447"/>
      <c r="AM200" s="449"/>
      <c r="AN200" s="269">
        <f>+IF(AND(Q200="Preventivo",AM199="Fuerte"),2,IF(AND(Q200="Preventivo",AM199="Moderado"),1,0))</f>
        <v>0</v>
      </c>
      <c r="AO200" s="269">
        <f t="shared" si="156"/>
        <v>0</v>
      </c>
      <c r="AP200" s="212">
        <f>+K199-AN200</f>
        <v>2</v>
      </c>
      <c r="AQ200" s="212">
        <f>+M199-AO200</f>
        <v>2</v>
      </c>
      <c r="AR200" s="433"/>
      <c r="AS200" s="433"/>
      <c r="AT200" s="433"/>
      <c r="AU200" s="433"/>
      <c r="AV200" s="562"/>
      <c r="AW200" s="562"/>
      <c r="AX200" s="562"/>
      <c r="AY200" s="562"/>
      <c r="AZ200" s="562"/>
      <c r="BA200" s="562"/>
      <c r="BB200" s="590"/>
      <c r="BC200" s="562"/>
      <c r="BD200" s="562"/>
      <c r="BE200" s="562"/>
      <c r="BF200" s="546"/>
      <c r="BG200" s="562"/>
    </row>
    <row r="201" spans="1:59" ht="14.15" customHeight="1">
      <c r="A201" s="437"/>
      <c r="B201" s="439"/>
      <c r="C201" s="500"/>
      <c r="D201" s="502"/>
      <c r="E201" s="149"/>
      <c r="F201" s="149"/>
      <c r="G201" s="137"/>
      <c r="H201" s="137"/>
      <c r="I201" s="137"/>
      <c r="J201" s="495"/>
      <c r="K201" s="467"/>
      <c r="L201" s="478"/>
      <c r="M201" s="467"/>
      <c r="N201" s="497"/>
      <c r="O201" s="149"/>
      <c r="P201" s="149"/>
      <c r="Q201" s="137"/>
      <c r="R201" s="231"/>
      <c r="S201" s="208" t="str">
        <f t="shared" si="145"/>
        <v/>
      </c>
      <c r="T201" s="231"/>
      <c r="U201" s="208" t="str">
        <f t="shared" si="146"/>
        <v/>
      </c>
      <c r="V201" s="207"/>
      <c r="W201" s="208" t="str">
        <f t="shared" si="147"/>
        <v/>
      </c>
      <c r="X201" s="207"/>
      <c r="Y201" s="208" t="str">
        <f t="shared" si="148"/>
        <v/>
      </c>
      <c r="Z201" s="207"/>
      <c r="AA201" s="208" t="str">
        <f t="shared" si="149"/>
        <v/>
      </c>
      <c r="AB201" s="207"/>
      <c r="AC201" s="208" t="str">
        <f t="shared" si="150"/>
        <v/>
      </c>
      <c r="AD201" s="207"/>
      <c r="AE201" s="208" t="str">
        <f t="shared" si="151"/>
        <v/>
      </c>
      <c r="AF201" s="270" t="str">
        <f t="shared" si="152"/>
        <v/>
      </c>
      <c r="AG201" s="270" t="str">
        <f t="shared" si="153"/>
        <v/>
      </c>
      <c r="AH201" s="209"/>
      <c r="AI201" s="210" t="str">
        <f t="shared" si="154"/>
        <v>Débil</v>
      </c>
      <c r="AJ201" s="211" t="str">
        <f>IFERROR(VLOOKUP((CONCATENATE(AG201,AI201)),Listados!$U$3:$V$11,2,FALSE),"")</f>
        <v/>
      </c>
      <c r="AK201" s="270">
        <f t="shared" si="155"/>
        <v>100</v>
      </c>
      <c r="AL201" s="447"/>
      <c r="AM201" s="449"/>
      <c r="AN201" s="269">
        <f>+IF(AND(Q201="Preventivo",AM199="Fuerte"),2,IF(AND(Q201="Preventivo",AM199="Moderado"),1,0))</f>
        <v>0</v>
      </c>
      <c r="AO201" s="269">
        <f t="shared" si="156"/>
        <v>0</v>
      </c>
      <c r="AP201" s="212">
        <f>+K199-AN201</f>
        <v>2</v>
      </c>
      <c r="AQ201" s="212">
        <f>+M199-AO201</f>
        <v>2</v>
      </c>
      <c r="AR201" s="433"/>
      <c r="AS201" s="433"/>
      <c r="AT201" s="433"/>
      <c r="AU201" s="433"/>
      <c r="AV201" s="562"/>
      <c r="AW201" s="562"/>
      <c r="AX201" s="562"/>
      <c r="AY201" s="562"/>
      <c r="AZ201" s="562"/>
      <c r="BA201" s="562"/>
      <c r="BB201" s="590"/>
      <c r="BC201" s="562"/>
      <c r="BD201" s="562"/>
      <c r="BE201" s="562"/>
      <c r="BF201" s="546"/>
      <c r="BG201" s="562"/>
    </row>
    <row r="202" spans="1:59" ht="14.15" customHeight="1">
      <c r="A202" s="437"/>
      <c r="B202" s="439"/>
      <c r="C202" s="500"/>
      <c r="D202" s="502"/>
      <c r="E202" s="149"/>
      <c r="F202" s="149"/>
      <c r="G202" s="137"/>
      <c r="H202" s="137"/>
      <c r="I202" s="137"/>
      <c r="J202" s="495"/>
      <c r="K202" s="467"/>
      <c r="L202" s="478"/>
      <c r="M202" s="467"/>
      <c r="N202" s="497"/>
      <c r="O202" s="149"/>
      <c r="P202" s="137"/>
      <c r="Q202" s="137"/>
      <c r="R202" s="231"/>
      <c r="S202" s="208" t="str">
        <f t="shared" si="145"/>
        <v/>
      </c>
      <c r="T202" s="231"/>
      <c r="U202" s="208" t="str">
        <f t="shared" si="146"/>
        <v/>
      </c>
      <c r="V202" s="207"/>
      <c r="W202" s="208" t="str">
        <f t="shared" si="147"/>
        <v/>
      </c>
      <c r="X202" s="207"/>
      <c r="Y202" s="208" t="str">
        <f t="shared" si="148"/>
        <v/>
      </c>
      <c r="Z202" s="207"/>
      <c r="AA202" s="208" t="str">
        <f t="shared" si="149"/>
        <v/>
      </c>
      <c r="AB202" s="207"/>
      <c r="AC202" s="208" t="str">
        <f t="shared" si="150"/>
        <v/>
      </c>
      <c r="AD202" s="207"/>
      <c r="AE202" s="208" t="str">
        <f t="shared" si="151"/>
        <v/>
      </c>
      <c r="AF202" s="270" t="str">
        <f t="shared" si="152"/>
        <v/>
      </c>
      <c r="AG202" s="270" t="str">
        <f t="shared" si="153"/>
        <v/>
      </c>
      <c r="AH202" s="209"/>
      <c r="AI202" s="210" t="str">
        <f t="shared" si="154"/>
        <v>Débil</v>
      </c>
      <c r="AJ202" s="211" t="str">
        <f>IFERROR(VLOOKUP((CONCATENATE(AG202,AI202)),Listados!$U$3:$V$11,2,FALSE),"")</f>
        <v/>
      </c>
      <c r="AK202" s="270">
        <f t="shared" si="155"/>
        <v>100</v>
      </c>
      <c r="AL202" s="447"/>
      <c r="AM202" s="449"/>
      <c r="AN202" s="269">
        <f>+IF(AND(Q202="Preventivo",AM199="Fuerte"),2,IF(AND(Q202="Preventivo",AM199="Moderado"),1,0))</f>
        <v>0</v>
      </c>
      <c r="AO202" s="269">
        <f t="shared" si="156"/>
        <v>0</v>
      </c>
      <c r="AP202" s="212">
        <f>+K199-AN202</f>
        <v>2</v>
      </c>
      <c r="AQ202" s="212">
        <f>+M199-AO202</f>
        <v>2</v>
      </c>
      <c r="AR202" s="433"/>
      <c r="AS202" s="433"/>
      <c r="AT202" s="433"/>
      <c r="AU202" s="433"/>
      <c r="AV202" s="562"/>
      <c r="AW202" s="562"/>
      <c r="AX202" s="562"/>
      <c r="AY202" s="562"/>
      <c r="AZ202" s="562"/>
      <c r="BA202" s="562"/>
      <c r="BB202" s="590"/>
      <c r="BC202" s="562"/>
      <c r="BD202" s="562"/>
      <c r="BE202" s="562"/>
      <c r="BF202" s="546"/>
      <c r="BG202" s="562"/>
    </row>
    <row r="203" spans="1:59" ht="14.15" customHeight="1">
      <c r="A203" s="437"/>
      <c r="B203" s="439"/>
      <c r="C203" s="500"/>
      <c r="D203" s="502"/>
      <c r="E203" s="149"/>
      <c r="F203" s="149"/>
      <c r="G203" s="137"/>
      <c r="H203" s="137"/>
      <c r="I203" s="137"/>
      <c r="J203" s="495"/>
      <c r="K203" s="467"/>
      <c r="L203" s="478"/>
      <c r="M203" s="467"/>
      <c r="N203" s="497"/>
      <c r="O203" s="149"/>
      <c r="P203" s="137"/>
      <c r="Q203" s="137"/>
      <c r="R203" s="231"/>
      <c r="S203" s="208" t="str">
        <f t="shared" si="145"/>
        <v/>
      </c>
      <c r="T203" s="231"/>
      <c r="U203" s="208" t="str">
        <f t="shared" si="146"/>
        <v/>
      </c>
      <c r="V203" s="207"/>
      <c r="W203" s="208" t="str">
        <f t="shared" si="147"/>
        <v/>
      </c>
      <c r="X203" s="207"/>
      <c r="Y203" s="208" t="str">
        <f t="shared" si="148"/>
        <v/>
      </c>
      <c r="Z203" s="207"/>
      <c r="AA203" s="208" t="str">
        <f t="shared" si="149"/>
        <v/>
      </c>
      <c r="AB203" s="207"/>
      <c r="AC203" s="208" t="str">
        <f t="shared" si="150"/>
        <v/>
      </c>
      <c r="AD203" s="207"/>
      <c r="AE203" s="208" t="str">
        <f t="shared" si="151"/>
        <v/>
      </c>
      <c r="AF203" s="270" t="str">
        <f t="shared" si="152"/>
        <v/>
      </c>
      <c r="AG203" s="270" t="str">
        <f t="shared" si="153"/>
        <v/>
      </c>
      <c r="AH203" s="209"/>
      <c r="AI203" s="210" t="str">
        <f t="shared" si="154"/>
        <v>Débil</v>
      </c>
      <c r="AJ203" s="211" t="str">
        <f>IFERROR(VLOOKUP((CONCATENATE(AG203,AI203)),Listados!$U$3:$V$11,2,FALSE),"")</f>
        <v/>
      </c>
      <c r="AK203" s="270">
        <f t="shared" si="155"/>
        <v>100</v>
      </c>
      <c r="AL203" s="447"/>
      <c r="AM203" s="449"/>
      <c r="AN203" s="269">
        <f>+IF(AND(Q203="Preventivo",AM199="Fuerte"),2,IF(AND(Q203="Preventivo",AM199="Moderado"),1,0))</f>
        <v>0</v>
      </c>
      <c r="AO203" s="269">
        <f t="shared" si="156"/>
        <v>0</v>
      </c>
      <c r="AP203" s="212">
        <f>+K199-AN203</f>
        <v>2</v>
      </c>
      <c r="AQ203" s="212">
        <f>+M199-AO203</f>
        <v>2</v>
      </c>
      <c r="AR203" s="433"/>
      <c r="AS203" s="433"/>
      <c r="AT203" s="433"/>
      <c r="AU203" s="433"/>
      <c r="AV203" s="562"/>
      <c r="AW203" s="562"/>
      <c r="AX203" s="562"/>
      <c r="AY203" s="562"/>
      <c r="AZ203" s="562"/>
      <c r="BA203" s="562"/>
      <c r="BB203" s="590"/>
      <c r="BC203" s="562"/>
      <c r="BD203" s="562"/>
      <c r="BE203" s="562"/>
      <c r="BF203" s="546"/>
      <c r="BG203" s="562"/>
    </row>
    <row r="204" spans="1:59" ht="14.15" customHeight="1">
      <c r="A204" s="437"/>
      <c r="B204" s="511"/>
      <c r="C204" s="513"/>
      <c r="D204" s="514"/>
      <c r="E204" s="276"/>
      <c r="F204" s="276"/>
      <c r="G204" s="277"/>
      <c r="H204" s="277"/>
      <c r="I204" s="277"/>
      <c r="J204" s="509"/>
      <c r="K204" s="468"/>
      <c r="L204" s="490"/>
      <c r="M204" s="468"/>
      <c r="N204" s="510"/>
      <c r="O204" s="149"/>
      <c r="P204" s="137"/>
      <c r="Q204" s="137"/>
      <c r="R204" s="231"/>
      <c r="S204" s="208" t="str">
        <f t="shared" si="145"/>
        <v/>
      </c>
      <c r="T204" s="231"/>
      <c r="U204" s="208" t="str">
        <f t="shared" si="146"/>
        <v/>
      </c>
      <c r="V204" s="207"/>
      <c r="W204" s="208" t="str">
        <f t="shared" si="147"/>
        <v/>
      </c>
      <c r="X204" s="207"/>
      <c r="Y204" s="208" t="str">
        <f t="shared" si="148"/>
        <v/>
      </c>
      <c r="Z204" s="207"/>
      <c r="AA204" s="208" t="str">
        <f t="shared" si="149"/>
        <v/>
      </c>
      <c r="AB204" s="207"/>
      <c r="AC204" s="208" t="str">
        <f t="shared" si="150"/>
        <v/>
      </c>
      <c r="AD204" s="207"/>
      <c r="AE204" s="208" t="str">
        <f t="shared" si="151"/>
        <v/>
      </c>
      <c r="AF204" s="270" t="str">
        <f t="shared" si="152"/>
        <v/>
      </c>
      <c r="AG204" s="270" t="str">
        <f t="shared" si="153"/>
        <v/>
      </c>
      <c r="AH204" s="209"/>
      <c r="AI204" s="210" t="str">
        <f t="shared" si="154"/>
        <v>Débil</v>
      </c>
      <c r="AJ204" s="211" t="str">
        <f>IFERROR(VLOOKUP((CONCATENATE(AG204,AI204)),Listados!$U$3:$V$11,2,FALSE),"")</f>
        <v/>
      </c>
      <c r="AK204" s="270">
        <f t="shared" si="155"/>
        <v>100</v>
      </c>
      <c r="AL204" s="448"/>
      <c r="AM204" s="449"/>
      <c r="AN204" s="269">
        <f>+IF(AND(Q204="Preventivo",AM199="Fuerte"),2,IF(AND(Q204="Preventivo",AM199="Moderado"),1,0))</f>
        <v>0</v>
      </c>
      <c r="AO204" s="269">
        <f t="shared" si="156"/>
        <v>0</v>
      </c>
      <c r="AP204" s="212">
        <f>+K199-AN204</f>
        <v>2</v>
      </c>
      <c r="AQ204" s="212">
        <f>+M199-AO204</f>
        <v>2</v>
      </c>
      <c r="AR204" s="434"/>
      <c r="AS204" s="434"/>
      <c r="AT204" s="434"/>
      <c r="AU204" s="434"/>
      <c r="AV204" s="563"/>
      <c r="AW204" s="563"/>
      <c r="AX204" s="563"/>
      <c r="AY204" s="563"/>
      <c r="AZ204" s="563"/>
      <c r="BA204" s="563"/>
      <c r="BB204" s="591"/>
      <c r="BC204" s="563"/>
      <c r="BD204" s="563"/>
      <c r="BE204" s="563"/>
      <c r="BF204" s="547"/>
      <c r="BG204" s="563"/>
    </row>
    <row r="205" spans="1:59" ht="70">
      <c r="A205" s="485">
        <v>35</v>
      </c>
      <c r="B205" s="505" t="s">
        <v>101</v>
      </c>
      <c r="C205" s="512" t="s">
        <v>1454</v>
      </c>
      <c r="D205" s="507" t="s">
        <v>1305</v>
      </c>
      <c r="E205" s="245" t="s">
        <v>15</v>
      </c>
      <c r="F205" s="245" t="s">
        <v>189</v>
      </c>
      <c r="G205" s="229" t="s">
        <v>376</v>
      </c>
      <c r="H205" s="229" t="s">
        <v>30</v>
      </c>
      <c r="I205" s="229" t="s">
        <v>377</v>
      </c>
      <c r="J205" s="504" t="s">
        <v>44</v>
      </c>
      <c r="K205" s="493">
        <f>+VLOOKUP(J205,Listados!$K$8:$L$12,2,0)</f>
        <v>3</v>
      </c>
      <c r="L205" s="481" t="s">
        <v>54</v>
      </c>
      <c r="M205" s="493">
        <f>+VLOOKUP(L205,Listados!$K$13:$L$17,2,0)</f>
        <v>4</v>
      </c>
      <c r="N205" s="469" t="str">
        <f>IF(AND(J205&lt;&gt;"",L205&lt;&gt;""),VLOOKUP(J205&amp;L205,Listados!$M$3:$N$27,2,FALSE),"")</f>
        <v>Extremo</v>
      </c>
      <c r="O205" s="149" t="s">
        <v>389</v>
      </c>
      <c r="P205" s="137" t="s">
        <v>376</v>
      </c>
      <c r="Q205" s="137" t="s">
        <v>20</v>
      </c>
      <c r="R205" s="207" t="s">
        <v>116</v>
      </c>
      <c r="S205" s="208">
        <f t="shared" si="145"/>
        <v>15</v>
      </c>
      <c r="T205" s="207" t="s">
        <v>257</v>
      </c>
      <c r="U205" s="208">
        <f t="shared" si="146"/>
        <v>15</v>
      </c>
      <c r="V205" s="207" t="s">
        <v>257</v>
      </c>
      <c r="W205" s="208">
        <f t="shared" si="147"/>
        <v>15</v>
      </c>
      <c r="X205" s="207" t="s">
        <v>20</v>
      </c>
      <c r="Y205" s="208">
        <f t="shared" si="148"/>
        <v>15</v>
      </c>
      <c r="Z205" s="207" t="s">
        <v>257</v>
      </c>
      <c r="AA205" s="208">
        <f t="shared" si="149"/>
        <v>15</v>
      </c>
      <c r="AB205" s="207" t="s">
        <v>257</v>
      </c>
      <c r="AC205" s="208">
        <f t="shared" si="150"/>
        <v>15</v>
      </c>
      <c r="AD205" s="207" t="s">
        <v>117</v>
      </c>
      <c r="AE205" s="208">
        <f t="shared" si="151"/>
        <v>10</v>
      </c>
      <c r="AF205" s="270">
        <f t="shared" si="152"/>
        <v>100</v>
      </c>
      <c r="AG205" s="270" t="str">
        <f t="shared" si="153"/>
        <v>Fuerte</v>
      </c>
      <c r="AH205" s="209" t="s">
        <v>118</v>
      </c>
      <c r="AI205" s="210" t="str">
        <f t="shared" si="154"/>
        <v>Fuerte</v>
      </c>
      <c r="AJ205" s="211" t="str">
        <f>IFERROR(VLOOKUP((CONCATENATE(AG205,AI205)),Listados!$U$3:$V$11,2,FALSE),"")</f>
        <v>Fuerte</v>
      </c>
      <c r="AK205" s="270">
        <f t="shared" si="155"/>
        <v>100</v>
      </c>
      <c r="AL205" s="446">
        <f>AVERAGE(AK205:AK210)</f>
        <v>100</v>
      </c>
      <c r="AM205" s="448" t="str">
        <f>IF(AL205&lt;=50, "Débil", IF(AL205&lt;=99,"Moderado","Fuerte"))</f>
        <v>Fuerte</v>
      </c>
      <c r="AN205" s="269">
        <f>+IF(AND(Q205="Preventivo",AM205="Fuerte"),2,IF(AND(Q205="Preventivo",AM205="Moderado"),1,0))</f>
        <v>2</v>
      </c>
      <c r="AO205" s="269">
        <f t="shared" si="156"/>
        <v>0</v>
      </c>
      <c r="AP205" s="212">
        <f>+K205-AN205</f>
        <v>1</v>
      </c>
      <c r="AQ205" s="212">
        <f>+M205-AO205</f>
        <v>4</v>
      </c>
      <c r="AR205" s="435" t="str">
        <f>+VLOOKUP(MIN(AP205,AP206,AP207,AP208,AP209,AP210),Listados!$J$18:$K$24,2,TRUE)</f>
        <v>Rara Vez</v>
      </c>
      <c r="AS205" s="435" t="str">
        <f>+VLOOKUP(MIN(AQ205,AQ206,AQ207,AQ208,AQ209,AQ210),Listados!$J$27:$K$32,2,TRUE)</f>
        <v>Mayor</v>
      </c>
      <c r="AT205" s="435" t="str">
        <f>IF(AND(AR205&lt;&gt;"",AS205&lt;&gt;""),VLOOKUP(AR205&amp;AS205,Listados!$M$3:$N$27,2,FALSE),"")</f>
        <v>Alto</v>
      </c>
      <c r="AU205" s="435" t="str">
        <f>+VLOOKUP(AT205,Listados!$P$3:$Q$6,2,FALSE)</f>
        <v>Reducir el riesgo</v>
      </c>
      <c r="AV205" s="585" t="s">
        <v>1139</v>
      </c>
      <c r="AW205" s="585" t="s">
        <v>1116</v>
      </c>
      <c r="AX205" s="586">
        <v>44605</v>
      </c>
      <c r="AY205" s="586">
        <v>44926</v>
      </c>
      <c r="AZ205" s="585"/>
      <c r="BA205" s="585" t="s">
        <v>1140</v>
      </c>
      <c r="BB205" s="589" t="s">
        <v>1459</v>
      </c>
      <c r="BC205" s="585" t="s">
        <v>1751</v>
      </c>
      <c r="BD205" s="585"/>
      <c r="BE205" s="592" t="s">
        <v>1544</v>
      </c>
      <c r="BF205" s="545" t="s">
        <v>1791</v>
      </c>
      <c r="BG205" s="585"/>
    </row>
    <row r="206" spans="1:59" ht="73.5" customHeight="1">
      <c r="A206" s="437"/>
      <c r="B206" s="506"/>
      <c r="C206" s="429"/>
      <c r="D206" s="508"/>
      <c r="E206" s="267"/>
      <c r="F206" s="267"/>
      <c r="G206" s="265" t="s">
        <v>390</v>
      </c>
      <c r="H206" s="265" t="s">
        <v>16</v>
      </c>
      <c r="I206" s="265" t="s">
        <v>380</v>
      </c>
      <c r="J206" s="476"/>
      <c r="K206" s="467"/>
      <c r="L206" s="477"/>
      <c r="M206" s="467"/>
      <c r="N206" s="496"/>
      <c r="O206" s="149" t="s">
        <v>391</v>
      </c>
      <c r="P206" s="137" t="s">
        <v>379</v>
      </c>
      <c r="Q206" s="137" t="s">
        <v>20</v>
      </c>
      <c r="R206" s="207" t="s">
        <v>116</v>
      </c>
      <c r="S206" s="208">
        <f t="shared" si="145"/>
        <v>15</v>
      </c>
      <c r="T206" s="207" t="s">
        <v>257</v>
      </c>
      <c r="U206" s="208">
        <f t="shared" si="146"/>
        <v>15</v>
      </c>
      <c r="V206" s="207" t="s">
        <v>257</v>
      </c>
      <c r="W206" s="208">
        <f t="shared" si="147"/>
        <v>15</v>
      </c>
      <c r="X206" s="207" t="s">
        <v>20</v>
      </c>
      <c r="Y206" s="208">
        <f t="shared" si="148"/>
        <v>15</v>
      </c>
      <c r="Z206" s="207" t="s">
        <v>257</v>
      </c>
      <c r="AA206" s="208">
        <f t="shared" si="149"/>
        <v>15</v>
      </c>
      <c r="AB206" s="207" t="s">
        <v>257</v>
      </c>
      <c r="AC206" s="208">
        <f t="shared" si="150"/>
        <v>15</v>
      </c>
      <c r="AD206" s="207" t="s">
        <v>117</v>
      </c>
      <c r="AE206" s="208">
        <f t="shared" si="151"/>
        <v>10</v>
      </c>
      <c r="AF206" s="270">
        <f t="shared" si="152"/>
        <v>100</v>
      </c>
      <c r="AG206" s="270" t="str">
        <f t="shared" si="153"/>
        <v>Fuerte</v>
      </c>
      <c r="AH206" s="209" t="s">
        <v>118</v>
      </c>
      <c r="AI206" s="210" t="str">
        <f t="shared" si="154"/>
        <v>Fuerte</v>
      </c>
      <c r="AJ206" s="211" t="str">
        <f>IFERROR(VLOOKUP((CONCATENATE(AG206,AI206)),Listados!$U$3:$V$11,2,FALSE),"")</f>
        <v>Fuerte</v>
      </c>
      <c r="AK206" s="270">
        <f t="shared" si="155"/>
        <v>100</v>
      </c>
      <c r="AL206" s="447"/>
      <c r="AM206" s="449"/>
      <c r="AN206" s="269">
        <f>+IF(AND(Q206="Preventivo",AM205="Fuerte"),2,IF(AND(Q206="Preventivo",AM205="Moderado"),1,0))</f>
        <v>2</v>
      </c>
      <c r="AO206" s="269">
        <f t="shared" si="156"/>
        <v>0</v>
      </c>
      <c r="AP206" s="212">
        <f>+K205-AN206</f>
        <v>1</v>
      </c>
      <c r="AQ206" s="212">
        <f>+M205-AO206</f>
        <v>4</v>
      </c>
      <c r="AR206" s="433"/>
      <c r="AS206" s="433"/>
      <c r="AT206" s="433"/>
      <c r="AU206" s="433"/>
      <c r="AV206" s="562"/>
      <c r="AW206" s="562"/>
      <c r="AX206" s="587"/>
      <c r="AY206" s="587"/>
      <c r="AZ206" s="562"/>
      <c r="BA206" s="562"/>
      <c r="BB206" s="590"/>
      <c r="BC206" s="562"/>
      <c r="BD206" s="562"/>
      <c r="BE206" s="562"/>
      <c r="BF206" s="546"/>
      <c r="BG206" s="562"/>
    </row>
    <row r="207" spans="1:59" ht="84">
      <c r="A207" s="437"/>
      <c r="B207" s="439"/>
      <c r="C207" s="500"/>
      <c r="D207" s="502"/>
      <c r="E207" s="149"/>
      <c r="F207" s="149"/>
      <c r="G207" s="137" t="s">
        <v>392</v>
      </c>
      <c r="H207" s="137" t="s">
        <v>16</v>
      </c>
      <c r="I207" s="137" t="s">
        <v>383</v>
      </c>
      <c r="J207" s="495"/>
      <c r="K207" s="467"/>
      <c r="L207" s="478"/>
      <c r="M207" s="467"/>
      <c r="N207" s="497"/>
      <c r="O207" s="149" t="s">
        <v>1458</v>
      </c>
      <c r="P207" s="137" t="s">
        <v>382</v>
      </c>
      <c r="Q207" s="137" t="s">
        <v>123</v>
      </c>
      <c r="R207" s="207" t="s">
        <v>116</v>
      </c>
      <c r="S207" s="208">
        <f t="shared" si="145"/>
        <v>15</v>
      </c>
      <c r="T207" s="207" t="s">
        <v>257</v>
      </c>
      <c r="U207" s="208">
        <f t="shared" si="146"/>
        <v>15</v>
      </c>
      <c r="V207" s="207" t="s">
        <v>257</v>
      </c>
      <c r="W207" s="208">
        <f t="shared" si="147"/>
        <v>15</v>
      </c>
      <c r="X207" s="207" t="s">
        <v>20</v>
      </c>
      <c r="Y207" s="208">
        <f t="shared" si="148"/>
        <v>15</v>
      </c>
      <c r="Z207" s="207" t="s">
        <v>257</v>
      </c>
      <c r="AA207" s="208">
        <f t="shared" si="149"/>
        <v>15</v>
      </c>
      <c r="AB207" s="207" t="s">
        <v>257</v>
      </c>
      <c r="AC207" s="208">
        <f t="shared" si="150"/>
        <v>15</v>
      </c>
      <c r="AD207" s="207" t="s">
        <v>117</v>
      </c>
      <c r="AE207" s="208">
        <f t="shared" si="151"/>
        <v>10</v>
      </c>
      <c r="AF207" s="270">
        <f t="shared" si="152"/>
        <v>100</v>
      </c>
      <c r="AG207" s="270" t="str">
        <f t="shared" si="153"/>
        <v>Fuerte</v>
      </c>
      <c r="AH207" s="209" t="s">
        <v>118</v>
      </c>
      <c r="AI207" s="210" t="str">
        <f t="shared" si="154"/>
        <v>Fuerte</v>
      </c>
      <c r="AJ207" s="211" t="str">
        <f>IFERROR(VLOOKUP((CONCATENATE(AG207,AI207)),Listados!$U$3:$V$11,2,FALSE),"")</f>
        <v>Fuerte</v>
      </c>
      <c r="AK207" s="270">
        <f t="shared" si="155"/>
        <v>100</v>
      </c>
      <c r="AL207" s="447"/>
      <c r="AM207" s="449"/>
      <c r="AN207" s="269">
        <f>+IF(AND(Q207="Preventivo",AM205="Fuerte"),2,IF(AND(Q207="Preventivo",AM205="Moderado"),1,0))</f>
        <v>0</v>
      </c>
      <c r="AO207" s="269">
        <f t="shared" si="156"/>
        <v>0</v>
      </c>
      <c r="AP207" s="212">
        <f>+K205-AN207</f>
        <v>3</v>
      </c>
      <c r="AQ207" s="212">
        <f>+M205-AO207</f>
        <v>4</v>
      </c>
      <c r="AR207" s="433"/>
      <c r="AS207" s="433"/>
      <c r="AT207" s="433"/>
      <c r="AU207" s="433"/>
      <c r="AV207" s="562"/>
      <c r="AW207" s="562"/>
      <c r="AX207" s="587"/>
      <c r="AY207" s="587"/>
      <c r="AZ207" s="562"/>
      <c r="BA207" s="562"/>
      <c r="BB207" s="590"/>
      <c r="BC207" s="562"/>
      <c r="BD207" s="562"/>
      <c r="BE207" s="562"/>
      <c r="BF207" s="546"/>
      <c r="BG207" s="562"/>
    </row>
    <row r="208" spans="1:59" ht="56">
      <c r="A208" s="437"/>
      <c r="B208" s="439"/>
      <c r="C208" s="500"/>
      <c r="D208" s="502"/>
      <c r="E208" s="149"/>
      <c r="F208" s="149"/>
      <c r="G208" s="137"/>
      <c r="H208" s="137"/>
      <c r="I208" s="137" t="s">
        <v>373</v>
      </c>
      <c r="J208" s="495"/>
      <c r="K208" s="467"/>
      <c r="L208" s="478"/>
      <c r="M208" s="467"/>
      <c r="N208" s="497"/>
      <c r="O208" s="149" t="s">
        <v>393</v>
      </c>
      <c r="P208" s="137" t="s">
        <v>382</v>
      </c>
      <c r="Q208" s="137" t="s">
        <v>20</v>
      </c>
      <c r="R208" s="207" t="s">
        <v>116</v>
      </c>
      <c r="S208" s="208">
        <f t="shared" si="145"/>
        <v>15</v>
      </c>
      <c r="T208" s="207" t="s">
        <v>257</v>
      </c>
      <c r="U208" s="208">
        <f t="shared" si="146"/>
        <v>15</v>
      </c>
      <c r="V208" s="207" t="s">
        <v>257</v>
      </c>
      <c r="W208" s="208">
        <f t="shared" si="147"/>
        <v>15</v>
      </c>
      <c r="X208" s="207" t="s">
        <v>20</v>
      </c>
      <c r="Y208" s="208">
        <f t="shared" si="148"/>
        <v>15</v>
      </c>
      <c r="Z208" s="207" t="s">
        <v>257</v>
      </c>
      <c r="AA208" s="208">
        <f t="shared" si="149"/>
        <v>15</v>
      </c>
      <c r="AB208" s="207" t="s">
        <v>257</v>
      </c>
      <c r="AC208" s="208">
        <f t="shared" si="150"/>
        <v>15</v>
      </c>
      <c r="AD208" s="207" t="s">
        <v>117</v>
      </c>
      <c r="AE208" s="208">
        <f t="shared" si="151"/>
        <v>10</v>
      </c>
      <c r="AF208" s="270">
        <f t="shared" si="152"/>
        <v>100</v>
      </c>
      <c r="AG208" s="270" t="str">
        <f t="shared" si="153"/>
        <v>Fuerte</v>
      </c>
      <c r="AH208" s="209" t="s">
        <v>118</v>
      </c>
      <c r="AI208" s="210" t="str">
        <f t="shared" si="154"/>
        <v>Fuerte</v>
      </c>
      <c r="AJ208" s="211" t="str">
        <f>IFERROR(VLOOKUP((CONCATENATE(AG208,AI208)),Listados!$U$3:$V$11,2,FALSE),"")</f>
        <v>Fuerte</v>
      </c>
      <c r="AK208" s="270">
        <f t="shared" si="155"/>
        <v>100</v>
      </c>
      <c r="AL208" s="447"/>
      <c r="AM208" s="449"/>
      <c r="AN208" s="269">
        <f>+IF(AND(Q208="Preventivo",AM205="Fuerte"),2,IF(AND(Q208="Preventivo",AM205="Moderado"),1,0))</f>
        <v>2</v>
      </c>
      <c r="AO208" s="269">
        <f t="shared" si="156"/>
        <v>0</v>
      </c>
      <c r="AP208" s="212">
        <f>+K205-AN208</f>
        <v>1</v>
      </c>
      <c r="AQ208" s="212">
        <f>+M205-AO208</f>
        <v>4</v>
      </c>
      <c r="AR208" s="433"/>
      <c r="AS208" s="433"/>
      <c r="AT208" s="433"/>
      <c r="AU208" s="433"/>
      <c r="AV208" s="562"/>
      <c r="AW208" s="562"/>
      <c r="AX208" s="587"/>
      <c r="AY208" s="587"/>
      <c r="AZ208" s="562"/>
      <c r="BA208" s="562"/>
      <c r="BB208" s="590"/>
      <c r="BC208" s="562"/>
      <c r="BD208" s="562"/>
      <c r="BE208" s="562"/>
      <c r="BF208" s="546"/>
      <c r="BG208" s="562"/>
    </row>
    <row r="209" spans="1:59" ht="14.15" customHeight="1">
      <c r="A209" s="437"/>
      <c r="B209" s="439"/>
      <c r="C209" s="500"/>
      <c r="D209" s="502"/>
      <c r="E209" s="149"/>
      <c r="F209" s="149"/>
      <c r="G209" s="137"/>
      <c r="H209" s="137"/>
      <c r="I209" s="137"/>
      <c r="J209" s="495"/>
      <c r="K209" s="467"/>
      <c r="L209" s="478"/>
      <c r="M209" s="467"/>
      <c r="N209" s="497"/>
      <c r="O209" s="149"/>
      <c r="P209" s="137"/>
      <c r="Q209" s="137"/>
      <c r="R209" s="231"/>
      <c r="S209" s="208" t="str">
        <f t="shared" si="145"/>
        <v/>
      </c>
      <c r="T209" s="231"/>
      <c r="U209" s="208" t="str">
        <f t="shared" si="146"/>
        <v/>
      </c>
      <c r="V209" s="207"/>
      <c r="W209" s="208" t="str">
        <f t="shared" si="147"/>
        <v/>
      </c>
      <c r="X209" s="207"/>
      <c r="Y209" s="208" t="str">
        <f t="shared" si="148"/>
        <v/>
      </c>
      <c r="Z209" s="207"/>
      <c r="AA209" s="208" t="str">
        <f t="shared" si="149"/>
        <v/>
      </c>
      <c r="AB209" s="207"/>
      <c r="AC209" s="208" t="str">
        <f t="shared" si="150"/>
        <v/>
      </c>
      <c r="AD209" s="207"/>
      <c r="AE209" s="208" t="str">
        <f t="shared" si="151"/>
        <v/>
      </c>
      <c r="AF209" s="270" t="str">
        <f t="shared" si="152"/>
        <v/>
      </c>
      <c r="AG209" s="270" t="str">
        <f t="shared" si="153"/>
        <v/>
      </c>
      <c r="AH209" s="209"/>
      <c r="AI209" s="210" t="str">
        <f t="shared" si="154"/>
        <v>Débil</v>
      </c>
      <c r="AJ209" s="211" t="str">
        <f>IFERROR(VLOOKUP((CONCATENATE(AG209,AI209)),Listados!$U$3:$V$11,2,FALSE),"")</f>
        <v/>
      </c>
      <c r="AK209" s="270">
        <f t="shared" si="155"/>
        <v>100</v>
      </c>
      <c r="AL209" s="447"/>
      <c r="AM209" s="449"/>
      <c r="AN209" s="269">
        <f>+IF(AND(Q209="Preventivo",AM205="Fuerte"),2,IF(AND(Q209="Preventivo",AM205="Moderado"),1,0))</f>
        <v>0</v>
      </c>
      <c r="AO209" s="269">
        <f t="shared" si="156"/>
        <v>0</v>
      </c>
      <c r="AP209" s="212">
        <f>+K205-AN209</f>
        <v>3</v>
      </c>
      <c r="AQ209" s="212">
        <f>+M205-AO209</f>
        <v>4</v>
      </c>
      <c r="AR209" s="433"/>
      <c r="AS209" s="433"/>
      <c r="AT209" s="433"/>
      <c r="AU209" s="433"/>
      <c r="AV209" s="562"/>
      <c r="AW209" s="562"/>
      <c r="AX209" s="587"/>
      <c r="AY209" s="587"/>
      <c r="AZ209" s="562"/>
      <c r="BA209" s="562"/>
      <c r="BB209" s="590"/>
      <c r="BC209" s="562"/>
      <c r="BD209" s="562"/>
      <c r="BE209" s="562"/>
      <c r="BF209" s="546"/>
      <c r="BG209" s="562"/>
    </row>
    <row r="210" spans="1:59" ht="14.15" customHeight="1">
      <c r="A210" s="437"/>
      <c r="B210" s="511"/>
      <c r="C210" s="513"/>
      <c r="D210" s="514"/>
      <c r="E210" s="276"/>
      <c r="F210" s="276"/>
      <c r="G210" s="277"/>
      <c r="H210" s="277"/>
      <c r="I210" s="277"/>
      <c r="J210" s="509"/>
      <c r="K210" s="468"/>
      <c r="L210" s="490"/>
      <c r="M210" s="468"/>
      <c r="N210" s="510"/>
      <c r="O210" s="149"/>
      <c r="P210" s="137"/>
      <c r="Q210" s="137"/>
      <c r="R210" s="231"/>
      <c r="S210" s="208" t="str">
        <f t="shared" si="145"/>
        <v/>
      </c>
      <c r="T210" s="231"/>
      <c r="U210" s="208" t="str">
        <f t="shared" si="146"/>
        <v/>
      </c>
      <c r="V210" s="207"/>
      <c r="W210" s="208" t="str">
        <f t="shared" si="147"/>
        <v/>
      </c>
      <c r="X210" s="207"/>
      <c r="Y210" s="208" t="str">
        <f t="shared" si="148"/>
        <v/>
      </c>
      <c r="Z210" s="207"/>
      <c r="AA210" s="208" t="str">
        <f t="shared" si="149"/>
        <v/>
      </c>
      <c r="AB210" s="207"/>
      <c r="AC210" s="208" t="str">
        <f t="shared" si="150"/>
        <v/>
      </c>
      <c r="AD210" s="207"/>
      <c r="AE210" s="208" t="str">
        <f t="shared" si="151"/>
        <v/>
      </c>
      <c r="AF210" s="270" t="str">
        <f t="shared" si="152"/>
        <v/>
      </c>
      <c r="AG210" s="270" t="str">
        <f t="shared" si="153"/>
        <v/>
      </c>
      <c r="AH210" s="209"/>
      <c r="AI210" s="210" t="str">
        <f t="shared" si="154"/>
        <v>Débil</v>
      </c>
      <c r="AJ210" s="211" t="str">
        <f>IFERROR(VLOOKUP((CONCATENATE(AG210,AI210)),Listados!$U$3:$V$11,2,FALSE),"")</f>
        <v/>
      </c>
      <c r="AK210" s="270">
        <f t="shared" si="155"/>
        <v>100</v>
      </c>
      <c r="AL210" s="448"/>
      <c r="AM210" s="449"/>
      <c r="AN210" s="269">
        <f>+IF(AND(Q210="Preventivo",AM205="Fuerte"),2,IF(AND(Q210="Preventivo",AM205="Moderado"),1,0))</f>
        <v>0</v>
      </c>
      <c r="AO210" s="269">
        <f t="shared" si="156"/>
        <v>0</v>
      </c>
      <c r="AP210" s="212">
        <f>+K205-AN210</f>
        <v>3</v>
      </c>
      <c r="AQ210" s="212">
        <f>+M205-AO210</f>
        <v>4</v>
      </c>
      <c r="AR210" s="434"/>
      <c r="AS210" s="434"/>
      <c r="AT210" s="434"/>
      <c r="AU210" s="434"/>
      <c r="AV210" s="563"/>
      <c r="AW210" s="563"/>
      <c r="AX210" s="588"/>
      <c r="AY210" s="588"/>
      <c r="AZ210" s="563"/>
      <c r="BA210" s="563"/>
      <c r="BB210" s="591"/>
      <c r="BC210" s="563"/>
      <c r="BD210" s="563"/>
      <c r="BE210" s="563"/>
      <c r="BF210" s="547"/>
      <c r="BG210" s="563"/>
    </row>
    <row r="211" spans="1:59" ht="70">
      <c r="A211" s="485">
        <v>36</v>
      </c>
      <c r="B211" s="505" t="s">
        <v>101</v>
      </c>
      <c r="C211" s="512" t="s">
        <v>1454</v>
      </c>
      <c r="D211" s="507" t="s">
        <v>1752</v>
      </c>
      <c r="E211" s="245" t="s">
        <v>29</v>
      </c>
      <c r="F211" s="245"/>
      <c r="G211" s="229" t="s">
        <v>394</v>
      </c>
      <c r="H211" s="229" t="s">
        <v>30</v>
      </c>
      <c r="I211" s="229" t="s">
        <v>395</v>
      </c>
      <c r="J211" s="504" t="s">
        <v>44</v>
      </c>
      <c r="K211" s="493"/>
      <c r="L211" s="481" t="s">
        <v>36</v>
      </c>
      <c r="M211" s="493">
        <f>+VLOOKUP(L211,Listados!$K$13:$L$17,2,0)</f>
        <v>3</v>
      </c>
      <c r="N211" s="469" t="str">
        <f>IF(AND(J211&lt;&gt;"",L211&lt;&gt;""),VLOOKUP(J211&amp;L211,Listados!$M$3:$N$27,2,FALSE),"")</f>
        <v>Alto</v>
      </c>
      <c r="O211" s="149" t="s">
        <v>1460</v>
      </c>
      <c r="P211" s="137" t="s">
        <v>394</v>
      </c>
      <c r="Q211" s="137" t="s">
        <v>20</v>
      </c>
      <c r="R211" s="207" t="s">
        <v>116</v>
      </c>
      <c r="S211" s="208">
        <f t="shared" si="145"/>
        <v>15</v>
      </c>
      <c r="T211" s="207" t="s">
        <v>257</v>
      </c>
      <c r="U211" s="208">
        <f t="shared" si="146"/>
        <v>15</v>
      </c>
      <c r="V211" s="207" t="s">
        <v>257</v>
      </c>
      <c r="W211" s="208">
        <f t="shared" si="147"/>
        <v>15</v>
      </c>
      <c r="X211" s="207" t="s">
        <v>20</v>
      </c>
      <c r="Y211" s="208">
        <f t="shared" si="148"/>
        <v>15</v>
      </c>
      <c r="Z211" s="207" t="s">
        <v>257</v>
      </c>
      <c r="AA211" s="208">
        <f t="shared" si="149"/>
        <v>15</v>
      </c>
      <c r="AB211" s="207" t="s">
        <v>257</v>
      </c>
      <c r="AC211" s="208">
        <f t="shared" si="150"/>
        <v>15</v>
      </c>
      <c r="AD211" s="207" t="s">
        <v>117</v>
      </c>
      <c r="AE211" s="208">
        <f t="shared" si="151"/>
        <v>10</v>
      </c>
      <c r="AF211" s="270">
        <f t="shared" si="152"/>
        <v>100</v>
      </c>
      <c r="AG211" s="270" t="str">
        <f t="shared" si="153"/>
        <v>Fuerte</v>
      </c>
      <c r="AH211" s="209" t="s">
        <v>118</v>
      </c>
      <c r="AI211" s="210" t="str">
        <f t="shared" si="154"/>
        <v>Fuerte</v>
      </c>
      <c r="AJ211" s="211" t="str">
        <f>IFERROR(VLOOKUP((CONCATENATE(AG211,AI211)),Listados!$U$3:$V$11,2,FALSE),"")</f>
        <v>Fuerte</v>
      </c>
      <c r="AK211" s="270">
        <f t="shared" si="155"/>
        <v>100</v>
      </c>
      <c r="AL211" s="446">
        <f>AVERAGE(AK211:AK216)</f>
        <v>100</v>
      </c>
      <c r="AM211" s="448" t="str">
        <f>IF(AL211&lt;=50, "Débil", IF(AL211&lt;=99,"Moderado","Fuerte"))</f>
        <v>Fuerte</v>
      </c>
      <c r="AN211" s="269">
        <f>+IF(AND(Q211="Preventivo",AM211="Fuerte"),2,IF(AND(Q211="Preventivo",AM211="Moderado"),1,0))</f>
        <v>2</v>
      </c>
      <c r="AO211" s="269">
        <f t="shared" si="156"/>
        <v>0</v>
      </c>
      <c r="AP211" s="212">
        <f>+K211-AN211</f>
        <v>-2</v>
      </c>
      <c r="AQ211" s="212">
        <f>+M211-AO211</f>
        <v>3</v>
      </c>
      <c r="AR211" s="435" t="e">
        <f>+VLOOKUP(MIN(AP211,AP212,AP213,AP214,AP215,AP216),Listados!$J$18:$K$24,2,TRUE)</f>
        <v>#N/A</v>
      </c>
      <c r="AS211" s="435" t="str">
        <f>+VLOOKUP(MIN(AQ211,AQ212,AQ213,AQ214,AQ215,AQ216),Listados!$J$27:$K$32,2,TRUE)</f>
        <v>Moderado</v>
      </c>
      <c r="AT211" s="435" t="e">
        <f>IF(AND(AR211&lt;&gt;"",AS211&lt;&gt;""),VLOOKUP(AR211&amp;AS211,Listados!$M$3:$N$27,2,FALSE),"")</f>
        <v>#N/A</v>
      </c>
      <c r="AU211" s="435" t="e">
        <f>+VLOOKUP(AT211,Listados!$P$3:$Q$6,2,FALSE)</f>
        <v>#N/A</v>
      </c>
      <c r="AV211" s="624" t="s">
        <v>1141</v>
      </c>
      <c r="AW211" s="624" t="s">
        <v>1143</v>
      </c>
      <c r="AX211" s="624" t="s">
        <v>1046</v>
      </c>
      <c r="AY211" s="624" t="s">
        <v>1046</v>
      </c>
      <c r="AZ211" s="624" t="s">
        <v>1138</v>
      </c>
      <c r="BA211" s="624" t="s">
        <v>1142</v>
      </c>
      <c r="BB211" s="626" t="s">
        <v>1461</v>
      </c>
      <c r="BC211" s="621" t="s">
        <v>1754</v>
      </c>
      <c r="BD211" s="624"/>
      <c r="BE211" s="592" t="s">
        <v>1531</v>
      </c>
      <c r="BF211" s="621" t="s">
        <v>1792</v>
      </c>
      <c r="BG211" s="624"/>
    </row>
    <row r="212" spans="1:59" ht="84">
      <c r="A212" s="437"/>
      <c r="B212" s="506"/>
      <c r="C212" s="429"/>
      <c r="D212" s="508"/>
      <c r="E212" s="267"/>
      <c r="F212" s="267"/>
      <c r="G212" s="265" t="s">
        <v>396</v>
      </c>
      <c r="H212" s="265" t="s">
        <v>30</v>
      </c>
      <c r="I212" s="265" t="s">
        <v>397</v>
      </c>
      <c r="J212" s="476"/>
      <c r="K212" s="467"/>
      <c r="L212" s="477"/>
      <c r="M212" s="467"/>
      <c r="N212" s="496"/>
      <c r="O212" s="149" t="s">
        <v>398</v>
      </c>
      <c r="P212" s="137" t="s">
        <v>396</v>
      </c>
      <c r="Q212" s="137" t="s">
        <v>123</v>
      </c>
      <c r="R212" s="207" t="s">
        <v>116</v>
      </c>
      <c r="S212" s="208">
        <f t="shared" si="145"/>
        <v>15</v>
      </c>
      <c r="T212" s="207" t="s">
        <v>257</v>
      </c>
      <c r="U212" s="208">
        <f t="shared" si="146"/>
        <v>15</v>
      </c>
      <c r="V212" s="207" t="s">
        <v>257</v>
      </c>
      <c r="W212" s="208">
        <f t="shared" si="147"/>
        <v>15</v>
      </c>
      <c r="X212" s="207" t="s">
        <v>20</v>
      </c>
      <c r="Y212" s="208">
        <f t="shared" si="148"/>
        <v>15</v>
      </c>
      <c r="Z212" s="207" t="s">
        <v>257</v>
      </c>
      <c r="AA212" s="208">
        <f t="shared" si="149"/>
        <v>15</v>
      </c>
      <c r="AB212" s="207" t="s">
        <v>257</v>
      </c>
      <c r="AC212" s="208">
        <f t="shared" si="150"/>
        <v>15</v>
      </c>
      <c r="AD212" s="207" t="s">
        <v>117</v>
      </c>
      <c r="AE212" s="208">
        <f t="shared" si="151"/>
        <v>10</v>
      </c>
      <c r="AF212" s="270">
        <f t="shared" si="152"/>
        <v>100</v>
      </c>
      <c r="AG212" s="270" t="str">
        <f t="shared" si="153"/>
        <v>Fuerte</v>
      </c>
      <c r="AH212" s="209" t="s">
        <v>118</v>
      </c>
      <c r="AI212" s="210" t="str">
        <f t="shared" si="154"/>
        <v>Fuerte</v>
      </c>
      <c r="AJ212" s="211" t="str">
        <f>IFERROR(VLOOKUP((CONCATENATE(AG212,AI212)),Listados!$U$3:$V$11,2,FALSE),"")</f>
        <v>Fuerte</v>
      </c>
      <c r="AK212" s="270">
        <f t="shared" si="155"/>
        <v>100</v>
      </c>
      <c r="AL212" s="447"/>
      <c r="AM212" s="449"/>
      <c r="AN212" s="269">
        <f>+IF(AND(Q212="Preventivo",AM211="Fuerte"),2,IF(AND(Q212="Preventivo",AM211="Moderado"),1,0))</f>
        <v>0</v>
      </c>
      <c r="AO212" s="269">
        <f t="shared" si="156"/>
        <v>0</v>
      </c>
      <c r="AP212" s="212">
        <f>+K211-AN212</f>
        <v>0</v>
      </c>
      <c r="AQ212" s="212">
        <f>+M211-AO212</f>
        <v>3</v>
      </c>
      <c r="AR212" s="433"/>
      <c r="AS212" s="433"/>
      <c r="AT212" s="433"/>
      <c r="AU212" s="433"/>
      <c r="AV212" s="622"/>
      <c r="AW212" s="622"/>
      <c r="AX212" s="622"/>
      <c r="AY212" s="622"/>
      <c r="AZ212" s="622"/>
      <c r="BA212" s="622"/>
      <c r="BB212" s="627"/>
      <c r="BC212" s="622"/>
      <c r="BD212" s="622"/>
      <c r="BE212" s="562"/>
      <c r="BF212" s="622"/>
      <c r="BG212" s="622"/>
    </row>
    <row r="213" spans="1:59" ht="112">
      <c r="A213" s="437"/>
      <c r="B213" s="439"/>
      <c r="C213" s="500"/>
      <c r="D213" s="502"/>
      <c r="E213" s="149"/>
      <c r="F213" s="149"/>
      <c r="G213" s="137"/>
      <c r="H213" s="137"/>
      <c r="I213" s="137"/>
      <c r="J213" s="495"/>
      <c r="K213" s="467"/>
      <c r="L213" s="478"/>
      <c r="M213" s="467"/>
      <c r="N213" s="497"/>
      <c r="O213" s="149" t="s">
        <v>1753</v>
      </c>
      <c r="P213" s="137" t="s">
        <v>394</v>
      </c>
      <c r="Q213" s="137" t="s">
        <v>20</v>
      </c>
      <c r="R213" s="207" t="s">
        <v>116</v>
      </c>
      <c r="S213" s="208">
        <f t="shared" ref="S213" si="163">+IF(R213="si",15,"")</f>
        <v>15</v>
      </c>
      <c r="T213" s="207" t="s">
        <v>257</v>
      </c>
      <c r="U213" s="208">
        <f t="shared" ref="U213" si="164">+IF(T213="si",15,"")</f>
        <v>15</v>
      </c>
      <c r="V213" s="207" t="s">
        <v>257</v>
      </c>
      <c r="W213" s="208">
        <f t="shared" ref="W213" si="165">+IF(V213="si",15,"")</f>
        <v>15</v>
      </c>
      <c r="X213" s="207" t="s">
        <v>20</v>
      </c>
      <c r="Y213" s="208">
        <f t="shared" ref="Y213" si="166">+IF(X213="Preventivo",15,IF(X213="Detectivo",10,""))</f>
        <v>15</v>
      </c>
      <c r="Z213" s="207" t="s">
        <v>257</v>
      </c>
      <c r="AA213" s="208">
        <f t="shared" ref="AA213" si="167">+IF(Z213="si",15,"")</f>
        <v>15</v>
      </c>
      <c r="AB213" s="207" t="s">
        <v>257</v>
      </c>
      <c r="AC213" s="208">
        <f t="shared" ref="AC213" si="168">+IF(AB213="si",15,"")</f>
        <v>15</v>
      </c>
      <c r="AD213" s="207" t="s">
        <v>117</v>
      </c>
      <c r="AE213" s="208">
        <f t="shared" si="151"/>
        <v>10</v>
      </c>
      <c r="AF213" s="270">
        <f t="shared" si="152"/>
        <v>100</v>
      </c>
      <c r="AG213" s="270" t="str">
        <f t="shared" si="153"/>
        <v>Fuerte</v>
      </c>
      <c r="AH213" s="209" t="s">
        <v>118</v>
      </c>
      <c r="AI213" s="210" t="str">
        <f t="shared" si="154"/>
        <v>Fuerte</v>
      </c>
      <c r="AJ213" s="211" t="str">
        <f>IFERROR(VLOOKUP((CONCATENATE(AG213,AI213)),Listados!$U$3:$V$11,2,FALSE),"")</f>
        <v>Fuerte</v>
      </c>
      <c r="AK213" s="270">
        <f t="shared" si="155"/>
        <v>100</v>
      </c>
      <c r="AL213" s="447"/>
      <c r="AM213" s="449"/>
      <c r="AN213" s="269">
        <f>+IF(AND(Q213="Preventivo",AM211="Fuerte"),2,IF(AND(Q213="Preventivo",AM211="Moderado"),1,0))</f>
        <v>2</v>
      </c>
      <c r="AO213" s="269">
        <f t="shared" si="156"/>
        <v>0</v>
      </c>
      <c r="AP213" s="212">
        <f>+K211-AN213</f>
        <v>-2</v>
      </c>
      <c r="AQ213" s="212">
        <f>+M211-AO213</f>
        <v>3</v>
      </c>
      <c r="AR213" s="433"/>
      <c r="AS213" s="433"/>
      <c r="AT213" s="433"/>
      <c r="AU213" s="433"/>
      <c r="AV213" s="622"/>
      <c r="AW213" s="622"/>
      <c r="AX213" s="622"/>
      <c r="AY213" s="622"/>
      <c r="AZ213" s="622"/>
      <c r="BA213" s="622"/>
      <c r="BB213" s="627"/>
      <c r="BC213" s="622"/>
      <c r="BD213" s="622"/>
      <c r="BE213" s="562"/>
      <c r="BF213" s="622"/>
      <c r="BG213" s="622"/>
    </row>
    <row r="214" spans="1:59" ht="14.15" customHeight="1">
      <c r="A214" s="437"/>
      <c r="B214" s="439"/>
      <c r="C214" s="500"/>
      <c r="D214" s="502"/>
      <c r="E214" s="149"/>
      <c r="F214" s="149"/>
      <c r="G214" s="137"/>
      <c r="H214" s="137"/>
      <c r="I214" s="137"/>
      <c r="J214" s="495"/>
      <c r="K214" s="467"/>
      <c r="L214" s="478"/>
      <c r="M214" s="467"/>
      <c r="N214" s="497"/>
      <c r="O214" s="149"/>
      <c r="P214" s="149"/>
      <c r="Q214" s="137"/>
      <c r="R214" s="231"/>
      <c r="S214" s="208" t="str">
        <f t="shared" si="145"/>
        <v/>
      </c>
      <c r="T214" s="231"/>
      <c r="U214" s="208" t="str">
        <f t="shared" si="146"/>
        <v/>
      </c>
      <c r="V214" s="207"/>
      <c r="W214" s="208" t="str">
        <f t="shared" si="147"/>
        <v/>
      </c>
      <c r="X214" s="207"/>
      <c r="Y214" s="208" t="str">
        <f t="shared" si="148"/>
        <v/>
      </c>
      <c r="Z214" s="207"/>
      <c r="AA214" s="208" t="str">
        <f t="shared" si="149"/>
        <v/>
      </c>
      <c r="AB214" s="207"/>
      <c r="AC214" s="208" t="str">
        <f t="shared" si="150"/>
        <v/>
      </c>
      <c r="AD214" s="207"/>
      <c r="AE214" s="208" t="str">
        <f t="shared" si="151"/>
        <v/>
      </c>
      <c r="AF214" s="270" t="str">
        <f t="shared" si="152"/>
        <v/>
      </c>
      <c r="AG214" s="270" t="str">
        <f t="shared" si="153"/>
        <v/>
      </c>
      <c r="AH214" s="209"/>
      <c r="AI214" s="210" t="str">
        <f t="shared" si="154"/>
        <v>Débil</v>
      </c>
      <c r="AJ214" s="211" t="str">
        <f>IFERROR(VLOOKUP((CONCATENATE(AG214,AI214)),Listados!$U$3:$V$11,2,FALSE),"")</f>
        <v/>
      </c>
      <c r="AK214" s="270">
        <f t="shared" si="155"/>
        <v>100</v>
      </c>
      <c r="AL214" s="447"/>
      <c r="AM214" s="449"/>
      <c r="AN214" s="269">
        <f>+IF(AND(Q214="Preventivo",AM211="Fuerte"),2,IF(AND(Q214="Preventivo",AM211="Moderado"),1,0))</f>
        <v>0</v>
      </c>
      <c r="AO214" s="269">
        <f t="shared" si="156"/>
        <v>0</v>
      </c>
      <c r="AP214" s="212">
        <f>+K211-AN214</f>
        <v>0</v>
      </c>
      <c r="AQ214" s="212">
        <f>+M211-AO214</f>
        <v>3</v>
      </c>
      <c r="AR214" s="433"/>
      <c r="AS214" s="433"/>
      <c r="AT214" s="433"/>
      <c r="AU214" s="433"/>
      <c r="AV214" s="622"/>
      <c r="AW214" s="622"/>
      <c r="AX214" s="622"/>
      <c r="AY214" s="622"/>
      <c r="AZ214" s="622"/>
      <c r="BA214" s="622"/>
      <c r="BB214" s="627"/>
      <c r="BC214" s="622"/>
      <c r="BD214" s="622"/>
      <c r="BE214" s="562"/>
      <c r="BF214" s="622"/>
      <c r="BG214" s="622"/>
    </row>
    <row r="215" spans="1:59" ht="14.15" customHeight="1">
      <c r="A215" s="437"/>
      <c r="B215" s="439"/>
      <c r="C215" s="500"/>
      <c r="D215" s="502"/>
      <c r="E215" s="149"/>
      <c r="F215" s="149"/>
      <c r="G215" s="137"/>
      <c r="H215" s="137"/>
      <c r="I215" s="137"/>
      <c r="J215" s="495"/>
      <c r="K215" s="467"/>
      <c r="L215" s="478"/>
      <c r="M215" s="467"/>
      <c r="N215" s="497"/>
      <c r="O215" s="149"/>
      <c r="P215" s="137"/>
      <c r="Q215" s="137"/>
      <c r="R215" s="231"/>
      <c r="S215" s="208" t="str">
        <f t="shared" si="145"/>
        <v/>
      </c>
      <c r="T215" s="231"/>
      <c r="U215" s="208" t="str">
        <f t="shared" si="146"/>
        <v/>
      </c>
      <c r="V215" s="207"/>
      <c r="W215" s="208" t="str">
        <f t="shared" si="147"/>
        <v/>
      </c>
      <c r="X215" s="207"/>
      <c r="Y215" s="208" t="str">
        <f t="shared" si="148"/>
        <v/>
      </c>
      <c r="Z215" s="207"/>
      <c r="AA215" s="208" t="str">
        <f t="shared" si="149"/>
        <v/>
      </c>
      <c r="AB215" s="207"/>
      <c r="AC215" s="208" t="str">
        <f t="shared" si="150"/>
        <v/>
      </c>
      <c r="AD215" s="207"/>
      <c r="AE215" s="208" t="str">
        <f t="shared" si="151"/>
        <v/>
      </c>
      <c r="AF215" s="270" t="str">
        <f t="shared" si="152"/>
        <v/>
      </c>
      <c r="AG215" s="270" t="str">
        <f t="shared" si="153"/>
        <v/>
      </c>
      <c r="AH215" s="209"/>
      <c r="AI215" s="210" t="str">
        <f t="shared" si="154"/>
        <v>Débil</v>
      </c>
      <c r="AJ215" s="211" t="str">
        <f>IFERROR(VLOOKUP((CONCATENATE(AG215,AI215)),Listados!$U$3:$V$11,2,FALSE),"")</f>
        <v/>
      </c>
      <c r="AK215" s="270">
        <f t="shared" si="155"/>
        <v>100</v>
      </c>
      <c r="AL215" s="447"/>
      <c r="AM215" s="449"/>
      <c r="AN215" s="269">
        <f>+IF(AND(Q215="Preventivo",AM211="Fuerte"),2,IF(AND(Q215="Preventivo",AM211="Moderado"),1,0))</f>
        <v>0</v>
      </c>
      <c r="AO215" s="269">
        <f t="shared" si="156"/>
        <v>0</v>
      </c>
      <c r="AP215" s="212">
        <f>+K211-AN215</f>
        <v>0</v>
      </c>
      <c r="AQ215" s="212">
        <f>+M211-AO215</f>
        <v>3</v>
      </c>
      <c r="AR215" s="433"/>
      <c r="AS215" s="433"/>
      <c r="AT215" s="433"/>
      <c r="AU215" s="433"/>
      <c r="AV215" s="622"/>
      <c r="AW215" s="622"/>
      <c r="AX215" s="622"/>
      <c r="AY215" s="622"/>
      <c r="AZ215" s="622"/>
      <c r="BA215" s="622"/>
      <c r="BB215" s="627"/>
      <c r="BC215" s="622"/>
      <c r="BD215" s="622"/>
      <c r="BE215" s="562"/>
      <c r="BF215" s="622"/>
      <c r="BG215" s="622"/>
    </row>
    <row r="216" spans="1:59" ht="14.15" customHeight="1">
      <c r="A216" s="437"/>
      <c r="B216" s="511"/>
      <c r="C216" s="513"/>
      <c r="D216" s="514"/>
      <c r="E216" s="276"/>
      <c r="F216" s="276"/>
      <c r="G216" s="277"/>
      <c r="H216" s="277"/>
      <c r="I216" s="277"/>
      <c r="J216" s="509"/>
      <c r="K216" s="468"/>
      <c r="L216" s="490"/>
      <c r="M216" s="468"/>
      <c r="N216" s="510"/>
      <c r="O216" s="149"/>
      <c r="P216" s="137"/>
      <c r="Q216" s="137"/>
      <c r="R216" s="231"/>
      <c r="S216" s="208" t="str">
        <f t="shared" si="145"/>
        <v/>
      </c>
      <c r="T216" s="231"/>
      <c r="U216" s="208" t="str">
        <f t="shared" si="146"/>
        <v/>
      </c>
      <c r="V216" s="207"/>
      <c r="W216" s="208" t="str">
        <f t="shared" si="147"/>
        <v/>
      </c>
      <c r="X216" s="207"/>
      <c r="Y216" s="208" t="str">
        <f t="shared" si="148"/>
        <v/>
      </c>
      <c r="Z216" s="207"/>
      <c r="AA216" s="208" t="str">
        <f t="shared" si="149"/>
        <v/>
      </c>
      <c r="AB216" s="207"/>
      <c r="AC216" s="208" t="str">
        <f t="shared" si="150"/>
        <v/>
      </c>
      <c r="AD216" s="207"/>
      <c r="AE216" s="208" t="str">
        <f t="shared" si="151"/>
        <v/>
      </c>
      <c r="AF216" s="270" t="str">
        <f t="shared" si="152"/>
        <v/>
      </c>
      <c r="AG216" s="270" t="str">
        <f t="shared" si="153"/>
        <v/>
      </c>
      <c r="AH216" s="209"/>
      <c r="AI216" s="210" t="str">
        <f t="shared" si="154"/>
        <v>Débil</v>
      </c>
      <c r="AJ216" s="211" t="str">
        <f>IFERROR(VLOOKUP((CONCATENATE(AG216,AI216)),Listados!$U$3:$V$11,2,FALSE),"")</f>
        <v/>
      </c>
      <c r="AK216" s="270">
        <f t="shared" si="155"/>
        <v>100</v>
      </c>
      <c r="AL216" s="448"/>
      <c r="AM216" s="449"/>
      <c r="AN216" s="269">
        <f>+IF(AND(Q216="Preventivo",AM211="Fuerte"),2,IF(AND(Q216="Preventivo",AM211="Moderado"),1,0))</f>
        <v>0</v>
      </c>
      <c r="AO216" s="269">
        <f t="shared" si="156"/>
        <v>0</v>
      </c>
      <c r="AP216" s="212">
        <f>+K211-AN216</f>
        <v>0</v>
      </c>
      <c r="AQ216" s="212">
        <f>+M211-AO216</f>
        <v>3</v>
      </c>
      <c r="AR216" s="434"/>
      <c r="AS216" s="434"/>
      <c r="AT216" s="434"/>
      <c r="AU216" s="434"/>
      <c r="AV216" s="623"/>
      <c r="AW216" s="623"/>
      <c r="AX216" s="623"/>
      <c r="AY216" s="623"/>
      <c r="AZ216" s="623"/>
      <c r="BA216" s="623"/>
      <c r="BB216" s="628"/>
      <c r="BC216" s="623"/>
      <c r="BD216" s="623"/>
      <c r="BE216" s="563"/>
      <c r="BF216" s="623"/>
      <c r="BG216" s="623"/>
    </row>
    <row r="217" spans="1:59" ht="182">
      <c r="A217" s="485">
        <v>37</v>
      </c>
      <c r="B217" s="505" t="s">
        <v>101</v>
      </c>
      <c r="C217" s="500" t="s">
        <v>1454</v>
      </c>
      <c r="D217" s="507" t="s">
        <v>1755</v>
      </c>
      <c r="E217" s="245" t="s">
        <v>41</v>
      </c>
      <c r="F217" s="245"/>
      <c r="G217" s="229" t="s">
        <v>399</v>
      </c>
      <c r="H217" s="229" t="s">
        <v>16</v>
      </c>
      <c r="I217" s="229" t="s">
        <v>400</v>
      </c>
      <c r="J217" s="504" t="s">
        <v>21</v>
      </c>
      <c r="K217" s="493">
        <f>+VLOOKUP(J217,Listados!$K$8:$L$12,2,0)</f>
        <v>1</v>
      </c>
      <c r="L217" s="481" t="s">
        <v>32</v>
      </c>
      <c r="M217" s="493">
        <f>+VLOOKUP(L217,Listados!$K$13:$L$17,2,0)</f>
        <v>2</v>
      </c>
      <c r="N217" s="469" t="str">
        <f>IF(AND(J217&lt;&gt;"",L217&lt;&gt;""),VLOOKUP(J217&amp;L217,Listados!$M$3:$N$27,2,FALSE),"")</f>
        <v>Bajo</v>
      </c>
      <c r="O217" s="149" t="s">
        <v>1462</v>
      </c>
      <c r="P217" s="137" t="s">
        <v>399</v>
      </c>
      <c r="Q217" s="137" t="s">
        <v>20</v>
      </c>
      <c r="R217" s="207" t="s">
        <v>116</v>
      </c>
      <c r="S217" s="208">
        <f t="shared" si="145"/>
        <v>15</v>
      </c>
      <c r="T217" s="207" t="s">
        <v>257</v>
      </c>
      <c r="U217" s="208">
        <f t="shared" si="146"/>
        <v>15</v>
      </c>
      <c r="V217" s="207" t="s">
        <v>257</v>
      </c>
      <c r="W217" s="208">
        <f t="shared" si="147"/>
        <v>15</v>
      </c>
      <c r="X217" s="207" t="s">
        <v>20</v>
      </c>
      <c r="Y217" s="208">
        <f t="shared" si="148"/>
        <v>15</v>
      </c>
      <c r="Z217" s="207" t="s">
        <v>257</v>
      </c>
      <c r="AA217" s="208">
        <f t="shared" si="149"/>
        <v>15</v>
      </c>
      <c r="AB217" s="207" t="s">
        <v>257</v>
      </c>
      <c r="AC217" s="208">
        <f t="shared" si="150"/>
        <v>15</v>
      </c>
      <c r="AD217" s="207" t="s">
        <v>117</v>
      </c>
      <c r="AE217" s="208">
        <f t="shared" si="151"/>
        <v>10</v>
      </c>
      <c r="AF217" s="270">
        <f t="shared" si="152"/>
        <v>100</v>
      </c>
      <c r="AG217" s="270" t="str">
        <f t="shared" si="153"/>
        <v>Fuerte</v>
      </c>
      <c r="AH217" s="209" t="s">
        <v>118</v>
      </c>
      <c r="AI217" s="210" t="str">
        <f t="shared" si="154"/>
        <v>Fuerte</v>
      </c>
      <c r="AJ217" s="211" t="str">
        <f>IFERROR(VLOOKUP((CONCATENATE(AG217,AI217)),Listados!$U$3:$V$11,2,FALSE),"")</f>
        <v>Fuerte</v>
      </c>
      <c r="AK217" s="270">
        <f t="shared" si="155"/>
        <v>100</v>
      </c>
      <c r="AL217" s="446">
        <f>AVERAGE(AK217:AK222)</f>
        <v>100</v>
      </c>
      <c r="AM217" s="448" t="str">
        <f>IF(AL217&lt;=50, "Débil", IF(AL217&lt;=99,"Moderado","Fuerte"))</f>
        <v>Fuerte</v>
      </c>
      <c r="AN217" s="269">
        <f>+IF(AND(Q217="Preventivo",AM217="Fuerte"),2,IF(AND(Q217="Preventivo",AM217="Moderado"),1,0))</f>
        <v>2</v>
      </c>
      <c r="AO217" s="269">
        <f t="shared" si="156"/>
        <v>0</v>
      </c>
      <c r="AP217" s="212">
        <f>+K217-AN217</f>
        <v>-1</v>
      </c>
      <c r="AQ217" s="212">
        <f>+M217-AO217</f>
        <v>2</v>
      </c>
      <c r="AR217" s="435" t="str">
        <f>+VLOOKUP(MIN(AP217,AP218,AP219,AP220,AP221,AP222),Listados!$J$18:$K$24,2,TRUE)</f>
        <v>Rara Vez</v>
      </c>
      <c r="AS217" s="435" t="str">
        <f>+VLOOKUP(MIN(AQ217,AQ218,AQ219,AQ220,AQ221,AQ222),Listados!$J$27:$K$32,2,TRUE)</f>
        <v>Menor</v>
      </c>
      <c r="AT217" s="435" t="str">
        <f>IF(AND(AR217&lt;&gt;"",AS217&lt;&gt;""),VLOOKUP(AR217&amp;AS217,Listados!$M$3:$N$27,2,FALSE),"")</f>
        <v>Bajo</v>
      </c>
      <c r="AU217" s="435" t="str">
        <f>+VLOOKUP(AT217,Listados!$P$3:$Q$6,2,FALSE)</f>
        <v>Asumir el riesgo</v>
      </c>
      <c r="AV217" s="585" t="s">
        <v>1144</v>
      </c>
      <c r="AW217" s="585" t="s">
        <v>1146</v>
      </c>
      <c r="AX217" s="585" t="s">
        <v>1046</v>
      </c>
      <c r="AY217" s="585" t="s">
        <v>1046</v>
      </c>
      <c r="AZ217" s="585" t="s">
        <v>1138</v>
      </c>
      <c r="BA217" s="585" t="s">
        <v>1145</v>
      </c>
      <c r="BB217" s="589" t="s">
        <v>1463</v>
      </c>
      <c r="BC217" s="585" t="s">
        <v>1756</v>
      </c>
      <c r="BD217" s="585"/>
      <c r="BE217" s="625" t="s">
        <v>1531</v>
      </c>
      <c r="BF217" s="585" t="s">
        <v>1794</v>
      </c>
      <c r="BG217" s="585"/>
    </row>
    <row r="218" spans="1:59" ht="112" customHeight="1">
      <c r="A218" s="437"/>
      <c r="B218" s="506"/>
      <c r="C218" s="500"/>
      <c r="D218" s="508"/>
      <c r="E218" s="267"/>
      <c r="F218" s="267"/>
      <c r="G218" s="265" t="s">
        <v>401</v>
      </c>
      <c r="H218" s="265" t="s">
        <v>16</v>
      </c>
      <c r="I218" s="265" t="s">
        <v>383</v>
      </c>
      <c r="J218" s="476"/>
      <c r="K218" s="467"/>
      <c r="L218" s="477"/>
      <c r="M218" s="467"/>
      <c r="N218" s="496"/>
      <c r="O218" s="149" t="s">
        <v>402</v>
      </c>
      <c r="P218" s="137" t="s">
        <v>401</v>
      </c>
      <c r="Q218" s="137" t="s">
        <v>20</v>
      </c>
      <c r="R218" s="207" t="s">
        <v>116</v>
      </c>
      <c r="S218" s="208">
        <f t="shared" si="145"/>
        <v>15</v>
      </c>
      <c r="T218" s="207" t="s">
        <v>257</v>
      </c>
      <c r="U218" s="208">
        <f t="shared" si="146"/>
        <v>15</v>
      </c>
      <c r="V218" s="207" t="s">
        <v>257</v>
      </c>
      <c r="W218" s="208">
        <f t="shared" si="147"/>
        <v>15</v>
      </c>
      <c r="X218" s="207" t="s">
        <v>20</v>
      </c>
      <c r="Y218" s="208">
        <f t="shared" si="148"/>
        <v>15</v>
      </c>
      <c r="Z218" s="207" t="s">
        <v>257</v>
      </c>
      <c r="AA218" s="208">
        <f t="shared" si="149"/>
        <v>15</v>
      </c>
      <c r="AB218" s="207" t="s">
        <v>257</v>
      </c>
      <c r="AC218" s="208">
        <f t="shared" si="150"/>
        <v>15</v>
      </c>
      <c r="AD218" s="207" t="s">
        <v>117</v>
      </c>
      <c r="AE218" s="208">
        <f t="shared" si="151"/>
        <v>10</v>
      </c>
      <c r="AF218" s="270">
        <f t="shared" si="152"/>
        <v>100</v>
      </c>
      <c r="AG218" s="270" t="str">
        <f t="shared" si="153"/>
        <v>Fuerte</v>
      </c>
      <c r="AH218" s="209" t="s">
        <v>118</v>
      </c>
      <c r="AI218" s="210" t="str">
        <f t="shared" si="154"/>
        <v>Fuerte</v>
      </c>
      <c r="AJ218" s="211" t="str">
        <f>IFERROR(VLOOKUP((CONCATENATE(AG218,AI218)),Listados!$U$3:$V$11,2,FALSE),"")</f>
        <v>Fuerte</v>
      </c>
      <c r="AK218" s="270">
        <f t="shared" si="155"/>
        <v>100</v>
      </c>
      <c r="AL218" s="447"/>
      <c r="AM218" s="449"/>
      <c r="AN218" s="269">
        <f>+IF(AND(Q218="Preventivo",AM217="Fuerte"),2,IF(AND(Q218="Preventivo",AM217="Moderado"),1,0))</f>
        <v>2</v>
      </c>
      <c r="AO218" s="269">
        <f t="shared" si="156"/>
        <v>0</v>
      </c>
      <c r="AP218" s="212">
        <f>+K217-AN218</f>
        <v>-1</v>
      </c>
      <c r="AQ218" s="212">
        <f>+M217-AO218</f>
        <v>2</v>
      </c>
      <c r="AR218" s="433"/>
      <c r="AS218" s="433"/>
      <c r="AT218" s="433"/>
      <c r="AU218" s="433"/>
      <c r="AV218" s="562"/>
      <c r="AW218" s="562"/>
      <c r="AX218" s="562"/>
      <c r="AY218" s="562"/>
      <c r="AZ218" s="562"/>
      <c r="BA218" s="562"/>
      <c r="BB218" s="590"/>
      <c r="BC218" s="562"/>
      <c r="BD218" s="562"/>
      <c r="BE218" s="622"/>
      <c r="BF218" s="562"/>
      <c r="BG218" s="562"/>
    </row>
    <row r="219" spans="1:59" ht="14.15" customHeight="1">
      <c r="A219" s="437"/>
      <c r="B219" s="439"/>
      <c r="C219" s="500"/>
      <c r="D219" s="502"/>
      <c r="E219" s="149"/>
      <c r="F219" s="149"/>
      <c r="G219" s="137"/>
      <c r="H219" s="137"/>
      <c r="I219" s="137"/>
      <c r="J219" s="495"/>
      <c r="K219" s="467"/>
      <c r="L219" s="478"/>
      <c r="M219" s="467"/>
      <c r="N219" s="497"/>
      <c r="O219" s="149"/>
      <c r="P219" s="137"/>
      <c r="Q219" s="137"/>
      <c r="R219" s="231"/>
      <c r="S219" s="208" t="str">
        <f t="shared" si="145"/>
        <v/>
      </c>
      <c r="T219" s="231"/>
      <c r="U219" s="208" t="str">
        <f t="shared" si="146"/>
        <v/>
      </c>
      <c r="V219" s="207"/>
      <c r="W219" s="208" t="str">
        <f t="shared" si="147"/>
        <v/>
      </c>
      <c r="X219" s="207"/>
      <c r="Y219" s="208" t="str">
        <f t="shared" si="148"/>
        <v/>
      </c>
      <c r="Z219" s="207"/>
      <c r="AA219" s="208" t="str">
        <f t="shared" si="149"/>
        <v/>
      </c>
      <c r="AB219" s="207"/>
      <c r="AC219" s="208" t="str">
        <f t="shared" si="150"/>
        <v/>
      </c>
      <c r="AD219" s="207"/>
      <c r="AE219" s="208" t="str">
        <f t="shared" si="151"/>
        <v/>
      </c>
      <c r="AF219" s="270" t="str">
        <f t="shared" si="152"/>
        <v/>
      </c>
      <c r="AG219" s="270" t="str">
        <f t="shared" si="153"/>
        <v/>
      </c>
      <c r="AH219" s="209"/>
      <c r="AI219" s="210" t="str">
        <f t="shared" si="154"/>
        <v>Débil</v>
      </c>
      <c r="AJ219" s="211" t="str">
        <f>IFERROR(VLOOKUP((CONCATENATE(AG219,AI219)),Listados!$U$3:$V$11,2,FALSE),"")</f>
        <v/>
      </c>
      <c r="AK219" s="270">
        <f t="shared" si="155"/>
        <v>100</v>
      </c>
      <c r="AL219" s="447"/>
      <c r="AM219" s="449"/>
      <c r="AN219" s="269">
        <f>+IF(AND(Q219="Preventivo",AM217="Fuerte"),2,IF(AND(Q219="Preventivo",AM217="Moderado"),1,0))</f>
        <v>0</v>
      </c>
      <c r="AO219" s="269">
        <f t="shared" si="156"/>
        <v>0</v>
      </c>
      <c r="AP219" s="212">
        <f>+K217-AN219</f>
        <v>1</v>
      </c>
      <c r="AQ219" s="212">
        <f>+M217-AO219</f>
        <v>2</v>
      </c>
      <c r="AR219" s="433"/>
      <c r="AS219" s="433"/>
      <c r="AT219" s="433"/>
      <c r="AU219" s="433"/>
      <c r="AV219" s="562"/>
      <c r="AW219" s="562"/>
      <c r="AX219" s="562"/>
      <c r="AY219" s="562"/>
      <c r="AZ219" s="562"/>
      <c r="BA219" s="562"/>
      <c r="BB219" s="590"/>
      <c r="BC219" s="562"/>
      <c r="BD219" s="562"/>
      <c r="BE219" s="622"/>
      <c r="BF219" s="562"/>
      <c r="BG219" s="562"/>
    </row>
    <row r="220" spans="1:59" ht="14.15" customHeight="1">
      <c r="A220" s="437"/>
      <c r="B220" s="439"/>
      <c r="C220" s="500"/>
      <c r="D220" s="502"/>
      <c r="E220" s="149"/>
      <c r="F220" s="149"/>
      <c r="G220" s="137"/>
      <c r="H220" s="137"/>
      <c r="I220" s="137"/>
      <c r="J220" s="495"/>
      <c r="K220" s="467"/>
      <c r="L220" s="478"/>
      <c r="M220" s="467"/>
      <c r="N220" s="497"/>
      <c r="O220" s="149"/>
      <c r="P220" s="137"/>
      <c r="Q220" s="137"/>
      <c r="R220" s="231"/>
      <c r="S220" s="208" t="str">
        <f t="shared" si="145"/>
        <v/>
      </c>
      <c r="T220" s="231"/>
      <c r="U220" s="208" t="str">
        <f t="shared" si="146"/>
        <v/>
      </c>
      <c r="V220" s="207"/>
      <c r="W220" s="208" t="str">
        <f t="shared" si="147"/>
        <v/>
      </c>
      <c r="X220" s="207"/>
      <c r="Y220" s="208" t="str">
        <f t="shared" si="148"/>
        <v/>
      </c>
      <c r="Z220" s="207"/>
      <c r="AA220" s="208" t="str">
        <f t="shared" si="149"/>
        <v/>
      </c>
      <c r="AB220" s="207"/>
      <c r="AC220" s="208" t="str">
        <f t="shared" si="150"/>
        <v/>
      </c>
      <c r="AD220" s="207"/>
      <c r="AE220" s="208" t="str">
        <f t="shared" si="151"/>
        <v/>
      </c>
      <c r="AF220" s="270" t="str">
        <f t="shared" si="152"/>
        <v/>
      </c>
      <c r="AG220" s="270" t="str">
        <f t="shared" si="153"/>
        <v/>
      </c>
      <c r="AH220" s="209"/>
      <c r="AI220" s="210" t="str">
        <f t="shared" si="154"/>
        <v>Débil</v>
      </c>
      <c r="AJ220" s="211" t="str">
        <f>IFERROR(VLOOKUP((CONCATENATE(AG220,AI220)),Listados!$U$3:$V$11,2,FALSE),"")</f>
        <v/>
      </c>
      <c r="AK220" s="270">
        <f t="shared" si="155"/>
        <v>100</v>
      </c>
      <c r="AL220" s="447"/>
      <c r="AM220" s="449"/>
      <c r="AN220" s="269">
        <f>+IF(AND(Q220="Preventivo",AM217="Fuerte"),2,IF(AND(Q220="Preventivo",AM217="Moderado"),1,0))</f>
        <v>0</v>
      </c>
      <c r="AO220" s="269">
        <f t="shared" si="156"/>
        <v>0</v>
      </c>
      <c r="AP220" s="212">
        <f>+K217-AN220</f>
        <v>1</v>
      </c>
      <c r="AQ220" s="212">
        <f>+M217-AO220</f>
        <v>2</v>
      </c>
      <c r="AR220" s="433"/>
      <c r="AS220" s="433"/>
      <c r="AT220" s="433"/>
      <c r="AU220" s="433"/>
      <c r="AV220" s="562"/>
      <c r="AW220" s="562"/>
      <c r="AX220" s="562"/>
      <c r="AY220" s="562"/>
      <c r="AZ220" s="562"/>
      <c r="BA220" s="562"/>
      <c r="BB220" s="590"/>
      <c r="BC220" s="562"/>
      <c r="BD220" s="562"/>
      <c r="BE220" s="622"/>
      <c r="BF220" s="562"/>
      <c r="BG220" s="562"/>
    </row>
    <row r="221" spans="1:59" ht="14.15" customHeight="1">
      <c r="A221" s="437"/>
      <c r="B221" s="439"/>
      <c r="C221" s="500"/>
      <c r="D221" s="502"/>
      <c r="E221" s="149"/>
      <c r="F221" s="149"/>
      <c r="G221" s="137"/>
      <c r="H221" s="137"/>
      <c r="I221" s="137"/>
      <c r="J221" s="495"/>
      <c r="K221" s="467"/>
      <c r="L221" s="478"/>
      <c r="M221" s="467"/>
      <c r="N221" s="497"/>
      <c r="O221" s="149"/>
      <c r="P221" s="137"/>
      <c r="Q221" s="137"/>
      <c r="R221" s="231"/>
      <c r="S221" s="208" t="str">
        <f t="shared" si="145"/>
        <v/>
      </c>
      <c r="T221" s="231"/>
      <c r="U221" s="208" t="str">
        <f t="shared" si="146"/>
        <v/>
      </c>
      <c r="V221" s="207"/>
      <c r="W221" s="208" t="str">
        <f t="shared" si="147"/>
        <v/>
      </c>
      <c r="X221" s="207"/>
      <c r="Y221" s="208" t="str">
        <f t="shared" si="148"/>
        <v/>
      </c>
      <c r="Z221" s="207"/>
      <c r="AA221" s="208" t="str">
        <f t="shared" si="149"/>
        <v/>
      </c>
      <c r="AB221" s="207"/>
      <c r="AC221" s="208" t="str">
        <f t="shared" si="150"/>
        <v/>
      </c>
      <c r="AD221" s="207"/>
      <c r="AE221" s="208" t="str">
        <f t="shared" si="151"/>
        <v/>
      </c>
      <c r="AF221" s="270" t="str">
        <f t="shared" si="152"/>
        <v/>
      </c>
      <c r="AG221" s="270" t="str">
        <f t="shared" si="153"/>
        <v/>
      </c>
      <c r="AH221" s="209"/>
      <c r="AI221" s="210" t="str">
        <f t="shared" si="154"/>
        <v>Débil</v>
      </c>
      <c r="AJ221" s="211" t="str">
        <f>IFERROR(VLOOKUP((CONCATENATE(AG221,AI221)),Listados!$U$3:$V$11,2,FALSE),"")</f>
        <v/>
      </c>
      <c r="AK221" s="270">
        <f t="shared" si="155"/>
        <v>100</v>
      </c>
      <c r="AL221" s="447"/>
      <c r="AM221" s="449"/>
      <c r="AN221" s="269">
        <f>+IF(AND(Q221="Preventivo",AM217="Fuerte"),2,IF(AND(Q221="Preventivo",AM217="Moderado"),1,0))</f>
        <v>0</v>
      </c>
      <c r="AO221" s="269">
        <f t="shared" si="156"/>
        <v>0</v>
      </c>
      <c r="AP221" s="212">
        <f>+K217-AN221</f>
        <v>1</v>
      </c>
      <c r="AQ221" s="212">
        <f>+M217-AO221</f>
        <v>2</v>
      </c>
      <c r="AR221" s="433"/>
      <c r="AS221" s="433"/>
      <c r="AT221" s="433"/>
      <c r="AU221" s="433"/>
      <c r="AV221" s="562"/>
      <c r="AW221" s="562"/>
      <c r="AX221" s="562"/>
      <c r="AY221" s="562"/>
      <c r="AZ221" s="562"/>
      <c r="BA221" s="562"/>
      <c r="BB221" s="590"/>
      <c r="BC221" s="562"/>
      <c r="BD221" s="562"/>
      <c r="BE221" s="622"/>
      <c r="BF221" s="562"/>
      <c r="BG221" s="562"/>
    </row>
    <row r="222" spans="1:59" ht="14.5" customHeight="1" thickBot="1">
      <c r="A222" s="438"/>
      <c r="B222" s="439"/>
      <c r="C222" s="500"/>
      <c r="D222" s="502"/>
      <c r="E222" s="149"/>
      <c r="F222" s="149"/>
      <c r="G222" s="137"/>
      <c r="H222" s="137"/>
      <c r="I222" s="137"/>
      <c r="J222" s="495"/>
      <c r="K222" s="468"/>
      <c r="L222" s="478"/>
      <c r="M222" s="468"/>
      <c r="N222" s="497"/>
      <c r="O222" s="149"/>
      <c r="P222" s="137"/>
      <c r="Q222" s="137"/>
      <c r="R222" s="231"/>
      <c r="S222" s="208" t="str">
        <f t="shared" si="145"/>
        <v/>
      </c>
      <c r="T222" s="231"/>
      <c r="U222" s="208" t="str">
        <f t="shared" si="146"/>
        <v/>
      </c>
      <c r="V222" s="207"/>
      <c r="W222" s="208" t="str">
        <f t="shared" si="147"/>
        <v/>
      </c>
      <c r="X222" s="207"/>
      <c r="Y222" s="208" t="str">
        <f t="shared" si="148"/>
        <v/>
      </c>
      <c r="Z222" s="207"/>
      <c r="AA222" s="208" t="str">
        <f t="shared" si="149"/>
        <v/>
      </c>
      <c r="AB222" s="207"/>
      <c r="AC222" s="208" t="str">
        <f t="shared" si="150"/>
        <v/>
      </c>
      <c r="AD222" s="207"/>
      <c r="AE222" s="208" t="str">
        <f t="shared" si="151"/>
        <v/>
      </c>
      <c r="AF222" s="270" t="str">
        <f t="shared" si="152"/>
        <v/>
      </c>
      <c r="AG222" s="270" t="str">
        <f t="shared" si="153"/>
        <v/>
      </c>
      <c r="AH222" s="209"/>
      <c r="AI222" s="210" t="str">
        <f t="shared" si="154"/>
        <v>Débil</v>
      </c>
      <c r="AJ222" s="211" t="str">
        <f>IFERROR(VLOOKUP((CONCATENATE(AG222,AI222)),Listados!$U$3:$V$11,2,FALSE),"")</f>
        <v/>
      </c>
      <c r="AK222" s="270">
        <f t="shared" si="155"/>
        <v>100</v>
      </c>
      <c r="AL222" s="448"/>
      <c r="AM222" s="449"/>
      <c r="AN222" s="269">
        <f>+IF(AND(Q222="Preventivo",AM217="Fuerte"),2,IF(AND(Q222="Preventivo",AM217="Moderado"),1,0))</f>
        <v>0</v>
      </c>
      <c r="AO222" s="269">
        <f t="shared" si="156"/>
        <v>0</v>
      </c>
      <c r="AP222" s="212">
        <f>+K217-AN222</f>
        <v>1</v>
      </c>
      <c r="AQ222" s="212">
        <f>+M217-AO222</f>
        <v>2</v>
      </c>
      <c r="AR222" s="434"/>
      <c r="AS222" s="434"/>
      <c r="AT222" s="434"/>
      <c r="AU222" s="434"/>
      <c r="AV222" s="563"/>
      <c r="AW222" s="563"/>
      <c r="AX222" s="563"/>
      <c r="AY222" s="563"/>
      <c r="AZ222" s="563"/>
      <c r="BA222" s="563"/>
      <c r="BB222" s="591"/>
      <c r="BC222" s="563"/>
      <c r="BD222" s="563"/>
      <c r="BE222" s="623"/>
      <c r="BF222" s="563"/>
      <c r="BG222" s="563"/>
    </row>
    <row r="223" spans="1:59" ht="84">
      <c r="A223" s="436">
        <v>38</v>
      </c>
      <c r="B223" s="439" t="s">
        <v>50</v>
      </c>
      <c r="C223" s="500" t="s">
        <v>1454</v>
      </c>
      <c r="D223" s="502" t="s">
        <v>1732</v>
      </c>
      <c r="E223" s="149" t="s">
        <v>52</v>
      </c>
      <c r="F223" s="149" t="s">
        <v>189</v>
      </c>
      <c r="G223" s="137" t="s">
        <v>404</v>
      </c>
      <c r="H223" s="137" t="s">
        <v>16</v>
      </c>
      <c r="I223" s="137" t="s">
        <v>403</v>
      </c>
      <c r="J223" s="495" t="s">
        <v>53</v>
      </c>
      <c r="K223" s="466">
        <f>+VLOOKUP(J223,Listados!$K$8:$L$12,2,0)</f>
        <v>4</v>
      </c>
      <c r="L223" s="477" t="s">
        <v>18</v>
      </c>
      <c r="M223" s="466">
        <f>+VLOOKUP(L223,Listados!$K$13:$L$17,2,0)</f>
        <v>1</v>
      </c>
      <c r="N223" s="496" t="str">
        <f>IF(AND(J223&lt;&gt;"",L223&lt;&gt;""),VLOOKUP(J223&amp;L223,Listados!$M$3:$N$27,2,FALSE),"")</f>
        <v>Moderado</v>
      </c>
      <c r="O223" s="149" t="s">
        <v>405</v>
      </c>
      <c r="P223" s="137" t="s">
        <v>404</v>
      </c>
      <c r="Q223" s="137" t="s">
        <v>20</v>
      </c>
      <c r="R223" s="207" t="s">
        <v>116</v>
      </c>
      <c r="S223" s="208">
        <f t="shared" si="145"/>
        <v>15</v>
      </c>
      <c r="T223" s="207" t="s">
        <v>257</v>
      </c>
      <c r="U223" s="208">
        <f t="shared" si="146"/>
        <v>15</v>
      </c>
      <c r="V223" s="207" t="s">
        <v>257</v>
      </c>
      <c r="W223" s="208">
        <f t="shared" si="147"/>
        <v>15</v>
      </c>
      <c r="X223" s="207" t="s">
        <v>20</v>
      </c>
      <c r="Y223" s="208">
        <f t="shared" si="148"/>
        <v>15</v>
      </c>
      <c r="Z223" s="207" t="s">
        <v>257</v>
      </c>
      <c r="AA223" s="208">
        <f t="shared" si="149"/>
        <v>15</v>
      </c>
      <c r="AB223" s="207" t="s">
        <v>257</v>
      </c>
      <c r="AC223" s="208">
        <f t="shared" si="150"/>
        <v>15</v>
      </c>
      <c r="AD223" s="207" t="s">
        <v>117</v>
      </c>
      <c r="AE223" s="208">
        <f t="shared" si="151"/>
        <v>10</v>
      </c>
      <c r="AF223" s="270">
        <f t="shared" si="152"/>
        <v>100</v>
      </c>
      <c r="AG223" s="270" t="str">
        <f t="shared" si="153"/>
        <v>Fuerte</v>
      </c>
      <c r="AH223" s="209" t="s">
        <v>118</v>
      </c>
      <c r="AI223" s="210" t="str">
        <f t="shared" si="154"/>
        <v>Fuerte</v>
      </c>
      <c r="AJ223" s="211" t="str">
        <f>IFERROR(VLOOKUP((CONCATENATE(AG223,AI223)),Listados!$U$3:$V$11,2,FALSE),"")</f>
        <v>Fuerte</v>
      </c>
      <c r="AK223" s="270">
        <f t="shared" si="155"/>
        <v>100</v>
      </c>
      <c r="AL223" s="446">
        <f>AVERAGE(AK223:AK228)</f>
        <v>100</v>
      </c>
      <c r="AM223" s="448" t="str">
        <f>IF(AL223&lt;=50, "Débil", IF(AL223&lt;=99,"Moderado","Fuerte"))</f>
        <v>Fuerte</v>
      </c>
      <c r="AN223" s="269">
        <f>+IF(AND(Q223="Preventivo",AM223="Fuerte"),2,IF(AND(Q223="Preventivo",AM223="Moderado"),1,0))</f>
        <v>2</v>
      </c>
      <c r="AO223" s="269">
        <f t="shared" si="156"/>
        <v>0</v>
      </c>
      <c r="AP223" s="212">
        <f>+K223-AN223</f>
        <v>2</v>
      </c>
      <c r="AQ223" s="212">
        <f>+M223-AO223</f>
        <v>1</v>
      </c>
      <c r="AR223" s="435" t="str">
        <f>+VLOOKUP(MIN(AP223,AP224,AP225,AP226,AP227,AP228),Listados!$J$18:$K$24,2,TRUE)</f>
        <v>Improbable</v>
      </c>
      <c r="AS223" s="435" t="str">
        <f>+VLOOKUP(MIN(AQ223,AQ224,AQ225,AQ226,AQ227,AQ228),Listados!$J$27:$K$32,2,TRUE)</f>
        <v>Insignificante</v>
      </c>
      <c r="AT223" s="435" t="str">
        <f>IF(AND(AR223&lt;&gt;"",AS223&lt;&gt;""),VLOOKUP(AR223&amp;AS223,Listados!$M$3:$N$27,2,FALSE),"")</f>
        <v>Bajo</v>
      </c>
      <c r="AU223" s="435" t="str">
        <f>+VLOOKUP(AT223,Listados!$P$3:$Q$6,2,FALSE)</f>
        <v>Asumir el riesgo</v>
      </c>
      <c r="AV223" s="559" t="s">
        <v>1450</v>
      </c>
      <c r="AW223" s="559" t="s">
        <v>1251</v>
      </c>
      <c r="AX223" s="629">
        <v>44986</v>
      </c>
      <c r="AY223" s="629">
        <v>45291</v>
      </c>
      <c r="AZ223" s="559" t="s">
        <v>1259</v>
      </c>
      <c r="BA223" s="559" t="s">
        <v>1260</v>
      </c>
      <c r="BB223" s="607" t="s">
        <v>1451</v>
      </c>
      <c r="BC223" s="559" t="s">
        <v>1733</v>
      </c>
      <c r="BD223" s="559"/>
      <c r="BE223" s="592" t="s">
        <v>1531</v>
      </c>
      <c r="BF223" s="559" t="s">
        <v>1793</v>
      </c>
      <c r="BG223" s="559"/>
    </row>
    <row r="224" spans="1:59" ht="98">
      <c r="A224" s="437"/>
      <c r="B224" s="439"/>
      <c r="C224" s="500"/>
      <c r="D224" s="502"/>
      <c r="E224" s="149"/>
      <c r="F224" s="149"/>
      <c r="G224" s="137" t="s">
        <v>406</v>
      </c>
      <c r="H224" s="137" t="s">
        <v>16</v>
      </c>
      <c r="I224" s="137" t="s">
        <v>407</v>
      </c>
      <c r="J224" s="495"/>
      <c r="K224" s="467"/>
      <c r="L224" s="478"/>
      <c r="M224" s="467"/>
      <c r="N224" s="497"/>
      <c r="O224" s="149" t="s">
        <v>408</v>
      </c>
      <c r="P224" s="137" t="s">
        <v>406</v>
      </c>
      <c r="Q224" s="137" t="s">
        <v>20</v>
      </c>
      <c r="R224" s="207" t="s">
        <v>116</v>
      </c>
      <c r="S224" s="208">
        <f t="shared" si="145"/>
        <v>15</v>
      </c>
      <c r="T224" s="207" t="s">
        <v>257</v>
      </c>
      <c r="U224" s="208">
        <f t="shared" si="146"/>
        <v>15</v>
      </c>
      <c r="V224" s="207" t="s">
        <v>257</v>
      </c>
      <c r="W224" s="208">
        <f t="shared" si="147"/>
        <v>15</v>
      </c>
      <c r="X224" s="207" t="s">
        <v>20</v>
      </c>
      <c r="Y224" s="208">
        <f t="shared" si="148"/>
        <v>15</v>
      </c>
      <c r="Z224" s="207" t="s">
        <v>257</v>
      </c>
      <c r="AA224" s="208">
        <f t="shared" si="149"/>
        <v>15</v>
      </c>
      <c r="AB224" s="207" t="s">
        <v>257</v>
      </c>
      <c r="AC224" s="208">
        <f t="shared" si="150"/>
        <v>15</v>
      </c>
      <c r="AD224" s="207" t="s">
        <v>117</v>
      </c>
      <c r="AE224" s="208">
        <f t="shared" si="151"/>
        <v>10</v>
      </c>
      <c r="AF224" s="270">
        <f t="shared" si="152"/>
        <v>100</v>
      </c>
      <c r="AG224" s="270" t="str">
        <f t="shared" si="153"/>
        <v>Fuerte</v>
      </c>
      <c r="AH224" s="209" t="s">
        <v>118</v>
      </c>
      <c r="AI224" s="210" t="str">
        <f t="shared" si="154"/>
        <v>Fuerte</v>
      </c>
      <c r="AJ224" s="211" t="str">
        <f>IFERROR(VLOOKUP((CONCATENATE(AG224,AI224)),Listados!$U$3:$V$11,2,FALSE),"")</f>
        <v>Fuerte</v>
      </c>
      <c r="AK224" s="270">
        <f t="shared" si="155"/>
        <v>100</v>
      </c>
      <c r="AL224" s="447"/>
      <c r="AM224" s="449"/>
      <c r="AN224" s="269">
        <f>+IF(AND(Q224="Preventivo",AM223="Fuerte"),2,IF(AND(Q224="Preventivo",AM223="Moderado"),1,0))</f>
        <v>2</v>
      </c>
      <c r="AO224" s="269">
        <f t="shared" si="156"/>
        <v>0</v>
      </c>
      <c r="AP224" s="212">
        <f>+K223-AN224</f>
        <v>2</v>
      </c>
      <c r="AQ224" s="212">
        <f>+M223-AO224</f>
        <v>1</v>
      </c>
      <c r="AR224" s="433"/>
      <c r="AS224" s="433"/>
      <c r="AT224" s="433"/>
      <c r="AU224" s="433"/>
      <c r="AV224" s="549"/>
      <c r="AW224" s="549"/>
      <c r="AX224" s="630"/>
      <c r="AY224" s="630"/>
      <c r="AZ224" s="549"/>
      <c r="BA224" s="549"/>
      <c r="BB224" s="608"/>
      <c r="BC224" s="549"/>
      <c r="BD224" s="549"/>
      <c r="BE224" s="562"/>
      <c r="BF224" s="549"/>
      <c r="BG224" s="549"/>
    </row>
    <row r="225" spans="1:59" ht="69.75" customHeight="1">
      <c r="A225" s="437"/>
      <c r="B225" s="439"/>
      <c r="C225" s="500"/>
      <c r="D225" s="502"/>
      <c r="E225" s="149"/>
      <c r="F225" s="149"/>
      <c r="G225" s="137" t="s">
        <v>1308</v>
      </c>
      <c r="H225" s="137"/>
      <c r="I225" s="137" t="s">
        <v>409</v>
      </c>
      <c r="J225" s="495"/>
      <c r="K225" s="467"/>
      <c r="L225" s="478"/>
      <c r="M225" s="467"/>
      <c r="N225" s="497"/>
      <c r="O225" s="149"/>
      <c r="P225" s="137"/>
      <c r="Q225" s="137"/>
      <c r="R225" s="231"/>
      <c r="S225" s="208" t="str">
        <f t="shared" si="145"/>
        <v/>
      </c>
      <c r="T225" s="231"/>
      <c r="U225" s="208" t="str">
        <f t="shared" si="146"/>
        <v/>
      </c>
      <c r="V225" s="207"/>
      <c r="W225" s="208" t="str">
        <f t="shared" si="147"/>
        <v/>
      </c>
      <c r="X225" s="207"/>
      <c r="Y225" s="208" t="str">
        <f t="shared" si="148"/>
        <v/>
      </c>
      <c r="Z225" s="207"/>
      <c r="AA225" s="208" t="str">
        <f t="shared" si="149"/>
        <v/>
      </c>
      <c r="AB225" s="207"/>
      <c r="AC225" s="208" t="str">
        <f t="shared" si="150"/>
        <v/>
      </c>
      <c r="AD225" s="207"/>
      <c r="AE225" s="208" t="str">
        <f t="shared" si="151"/>
        <v/>
      </c>
      <c r="AF225" s="270" t="str">
        <f t="shared" si="152"/>
        <v/>
      </c>
      <c r="AG225" s="270" t="str">
        <f t="shared" si="153"/>
        <v/>
      </c>
      <c r="AH225" s="209"/>
      <c r="AI225" s="210" t="str">
        <f t="shared" si="154"/>
        <v>Débil</v>
      </c>
      <c r="AJ225" s="211" t="str">
        <f>IFERROR(VLOOKUP((CONCATENATE(AG225,AI225)),Listados!$U$3:$V$11,2,FALSE),"")</f>
        <v/>
      </c>
      <c r="AK225" s="270">
        <f t="shared" si="155"/>
        <v>100</v>
      </c>
      <c r="AL225" s="447"/>
      <c r="AM225" s="449"/>
      <c r="AN225" s="269">
        <f>+IF(AND(Q225="Preventivo",AM223="Fuerte"),2,IF(AND(Q225="Preventivo",AM223="Moderado"),1,0))</f>
        <v>0</v>
      </c>
      <c r="AO225" s="269">
        <f t="shared" si="156"/>
        <v>0</v>
      </c>
      <c r="AP225" s="212">
        <f>+K223-AN225</f>
        <v>4</v>
      </c>
      <c r="AQ225" s="212">
        <f>+M223-AO225</f>
        <v>1</v>
      </c>
      <c r="AR225" s="433"/>
      <c r="AS225" s="433"/>
      <c r="AT225" s="433"/>
      <c r="AU225" s="433"/>
      <c r="AV225" s="549"/>
      <c r="AW225" s="549"/>
      <c r="AX225" s="630"/>
      <c r="AY225" s="630"/>
      <c r="AZ225" s="549"/>
      <c r="BA225" s="549"/>
      <c r="BB225" s="608"/>
      <c r="BC225" s="549"/>
      <c r="BD225" s="549"/>
      <c r="BE225" s="562"/>
      <c r="BF225" s="549"/>
      <c r="BG225" s="549"/>
    </row>
    <row r="226" spans="1:59" ht="84">
      <c r="A226" s="437"/>
      <c r="B226" s="439"/>
      <c r="C226" s="500"/>
      <c r="D226" s="502"/>
      <c r="E226" s="149"/>
      <c r="F226" s="149"/>
      <c r="G226" s="137" t="s">
        <v>1309</v>
      </c>
      <c r="H226" s="137"/>
      <c r="I226" s="137" t="s">
        <v>1307</v>
      </c>
      <c r="J226" s="495"/>
      <c r="K226" s="467"/>
      <c r="L226" s="478"/>
      <c r="M226" s="467"/>
      <c r="N226" s="497"/>
      <c r="O226" s="149"/>
      <c r="P226" s="137"/>
      <c r="Q226" s="137"/>
      <c r="R226" s="231"/>
      <c r="S226" s="208" t="str">
        <f t="shared" si="145"/>
        <v/>
      </c>
      <c r="T226" s="231"/>
      <c r="U226" s="208" t="str">
        <f t="shared" si="146"/>
        <v/>
      </c>
      <c r="V226" s="207"/>
      <c r="W226" s="208" t="str">
        <f t="shared" si="147"/>
        <v/>
      </c>
      <c r="X226" s="207"/>
      <c r="Y226" s="208" t="str">
        <f t="shared" si="148"/>
        <v/>
      </c>
      <c r="Z226" s="207"/>
      <c r="AA226" s="208" t="str">
        <f t="shared" si="149"/>
        <v/>
      </c>
      <c r="AB226" s="207"/>
      <c r="AC226" s="208" t="str">
        <f t="shared" si="150"/>
        <v/>
      </c>
      <c r="AD226" s="207"/>
      <c r="AE226" s="208" t="str">
        <f t="shared" si="151"/>
        <v/>
      </c>
      <c r="AF226" s="270" t="str">
        <f t="shared" si="152"/>
        <v/>
      </c>
      <c r="AG226" s="270" t="str">
        <f t="shared" si="153"/>
        <v/>
      </c>
      <c r="AH226" s="209"/>
      <c r="AI226" s="210" t="str">
        <f t="shared" si="154"/>
        <v>Débil</v>
      </c>
      <c r="AJ226" s="211" t="str">
        <f>IFERROR(VLOOKUP((CONCATENATE(AG226,AI226)),Listados!$U$3:$V$11,2,FALSE),"")</f>
        <v/>
      </c>
      <c r="AK226" s="270">
        <f t="shared" si="155"/>
        <v>100</v>
      </c>
      <c r="AL226" s="447"/>
      <c r="AM226" s="449"/>
      <c r="AN226" s="269">
        <f>+IF(AND(Q226="Preventivo",AM223="Fuerte"),2,IF(AND(Q226="Preventivo",AM223="Moderado"),1,0))</f>
        <v>0</v>
      </c>
      <c r="AO226" s="269">
        <f t="shared" si="156"/>
        <v>0</v>
      </c>
      <c r="AP226" s="212">
        <f>+K223-AN226</f>
        <v>4</v>
      </c>
      <c r="AQ226" s="212">
        <f>+M223-AO226</f>
        <v>1</v>
      </c>
      <c r="AR226" s="433"/>
      <c r="AS226" s="433"/>
      <c r="AT226" s="433"/>
      <c r="AU226" s="433"/>
      <c r="AV226" s="549"/>
      <c r="AW226" s="549"/>
      <c r="AX226" s="630"/>
      <c r="AY226" s="630"/>
      <c r="AZ226" s="549"/>
      <c r="BA226" s="549"/>
      <c r="BB226" s="608"/>
      <c r="BC226" s="549"/>
      <c r="BD226" s="549"/>
      <c r="BE226" s="562"/>
      <c r="BF226" s="549"/>
      <c r="BG226" s="549"/>
    </row>
    <row r="227" spans="1:59" ht="42">
      <c r="A227" s="437"/>
      <c r="B227" s="439"/>
      <c r="C227" s="500"/>
      <c r="D227" s="502"/>
      <c r="E227" s="149"/>
      <c r="F227" s="149"/>
      <c r="G227" s="137" t="s">
        <v>1310</v>
      </c>
      <c r="H227" s="137"/>
      <c r="I227" s="137" t="s">
        <v>1306</v>
      </c>
      <c r="J227" s="495"/>
      <c r="K227" s="467"/>
      <c r="L227" s="478"/>
      <c r="M227" s="467"/>
      <c r="N227" s="497"/>
      <c r="O227" s="149"/>
      <c r="P227" s="137"/>
      <c r="Q227" s="137"/>
      <c r="R227" s="231"/>
      <c r="S227" s="208" t="str">
        <f t="shared" si="145"/>
        <v/>
      </c>
      <c r="T227" s="231"/>
      <c r="U227" s="208" t="str">
        <f t="shared" si="146"/>
        <v/>
      </c>
      <c r="V227" s="207"/>
      <c r="W227" s="208" t="str">
        <f t="shared" si="147"/>
        <v/>
      </c>
      <c r="X227" s="207"/>
      <c r="Y227" s="208" t="str">
        <f t="shared" si="148"/>
        <v/>
      </c>
      <c r="Z227" s="207"/>
      <c r="AA227" s="208" t="str">
        <f t="shared" si="149"/>
        <v/>
      </c>
      <c r="AB227" s="207"/>
      <c r="AC227" s="208" t="str">
        <f t="shared" si="150"/>
        <v/>
      </c>
      <c r="AD227" s="207"/>
      <c r="AE227" s="208" t="str">
        <f t="shared" si="151"/>
        <v/>
      </c>
      <c r="AF227" s="270" t="str">
        <f t="shared" si="152"/>
        <v/>
      </c>
      <c r="AG227" s="270" t="str">
        <f t="shared" si="153"/>
        <v/>
      </c>
      <c r="AH227" s="209"/>
      <c r="AI227" s="210" t="str">
        <f t="shared" si="154"/>
        <v>Débil</v>
      </c>
      <c r="AJ227" s="211" t="str">
        <f>IFERROR(VLOOKUP((CONCATENATE(AG227,AI227)),Listados!$U$3:$V$11,2,FALSE),"")</f>
        <v/>
      </c>
      <c r="AK227" s="270">
        <f t="shared" si="155"/>
        <v>100</v>
      </c>
      <c r="AL227" s="447"/>
      <c r="AM227" s="449"/>
      <c r="AN227" s="269">
        <f>+IF(AND(Q227="Preventivo",AM223="Fuerte"),2,IF(AND(Q227="Preventivo",AM223="Moderado"),1,0))</f>
        <v>0</v>
      </c>
      <c r="AO227" s="269">
        <f t="shared" si="156"/>
        <v>0</v>
      </c>
      <c r="AP227" s="212">
        <f>+K223-AN227</f>
        <v>4</v>
      </c>
      <c r="AQ227" s="212">
        <f>+M223-AO227</f>
        <v>1</v>
      </c>
      <c r="AR227" s="433"/>
      <c r="AS227" s="433"/>
      <c r="AT227" s="433"/>
      <c r="AU227" s="433"/>
      <c r="AV227" s="549"/>
      <c r="AW227" s="549"/>
      <c r="AX227" s="630"/>
      <c r="AY227" s="630"/>
      <c r="AZ227" s="549"/>
      <c r="BA227" s="549"/>
      <c r="BB227" s="608"/>
      <c r="BC227" s="549"/>
      <c r="BD227" s="549"/>
      <c r="BE227" s="562"/>
      <c r="BF227" s="549"/>
      <c r="BG227" s="549"/>
    </row>
    <row r="228" spans="1:59" ht="14.5" thickBot="1">
      <c r="A228" s="438"/>
      <c r="B228" s="439"/>
      <c r="C228" s="500"/>
      <c r="D228" s="502"/>
      <c r="E228" s="149"/>
      <c r="F228" s="149"/>
      <c r="G228" s="137"/>
      <c r="H228" s="137"/>
      <c r="I228" s="137"/>
      <c r="J228" s="495"/>
      <c r="K228" s="468"/>
      <c r="L228" s="478"/>
      <c r="M228" s="468"/>
      <c r="N228" s="497"/>
      <c r="O228" s="149"/>
      <c r="P228" s="137"/>
      <c r="Q228" s="137"/>
      <c r="R228" s="231"/>
      <c r="S228" s="208" t="str">
        <f t="shared" si="145"/>
        <v/>
      </c>
      <c r="T228" s="231"/>
      <c r="U228" s="208" t="str">
        <f t="shared" si="146"/>
        <v/>
      </c>
      <c r="V228" s="207"/>
      <c r="W228" s="208" t="str">
        <f t="shared" si="147"/>
        <v/>
      </c>
      <c r="X228" s="207"/>
      <c r="Y228" s="208" t="str">
        <f t="shared" si="148"/>
        <v/>
      </c>
      <c r="Z228" s="207"/>
      <c r="AA228" s="208" t="str">
        <f t="shared" si="149"/>
        <v/>
      </c>
      <c r="AB228" s="207"/>
      <c r="AC228" s="208" t="str">
        <f t="shared" si="150"/>
        <v/>
      </c>
      <c r="AD228" s="207"/>
      <c r="AE228" s="208" t="str">
        <f t="shared" si="151"/>
        <v/>
      </c>
      <c r="AF228" s="270" t="str">
        <f t="shared" si="152"/>
        <v/>
      </c>
      <c r="AG228" s="270" t="str">
        <f t="shared" si="153"/>
        <v/>
      </c>
      <c r="AH228" s="209"/>
      <c r="AI228" s="210" t="str">
        <f t="shared" si="154"/>
        <v>Débil</v>
      </c>
      <c r="AJ228" s="211" t="str">
        <f>IFERROR(VLOOKUP((CONCATENATE(AG228,AI228)),Listados!$U$3:$V$11,2,FALSE),"")</f>
        <v/>
      </c>
      <c r="AK228" s="270">
        <f t="shared" si="155"/>
        <v>100</v>
      </c>
      <c r="AL228" s="448"/>
      <c r="AM228" s="449"/>
      <c r="AN228" s="269">
        <f>+IF(AND(Q228="Preventivo",AM223="Fuerte"),2,IF(AND(Q228="Preventivo",AM223="Moderado"),1,0))</f>
        <v>0</v>
      </c>
      <c r="AO228" s="269">
        <f t="shared" si="156"/>
        <v>0</v>
      </c>
      <c r="AP228" s="212">
        <f>+K223-AN228</f>
        <v>4</v>
      </c>
      <c r="AQ228" s="212">
        <f>+M223-AO228</f>
        <v>1</v>
      </c>
      <c r="AR228" s="434"/>
      <c r="AS228" s="434"/>
      <c r="AT228" s="434"/>
      <c r="AU228" s="434"/>
      <c r="AV228" s="550"/>
      <c r="AW228" s="550"/>
      <c r="AX228" s="631"/>
      <c r="AY228" s="631"/>
      <c r="AZ228" s="550"/>
      <c r="BA228" s="550"/>
      <c r="BB228" s="609"/>
      <c r="BC228" s="550"/>
      <c r="BD228" s="550"/>
      <c r="BE228" s="563"/>
      <c r="BF228" s="550"/>
      <c r="BG228" s="550"/>
    </row>
    <row r="229" spans="1:59" ht="154">
      <c r="A229" s="436">
        <v>39</v>
      </c>
      <c r="B229" s="439" t="s">
        <v>60</v>
      </c>
      <c r="C229" s="499" t="str">
        <f>IFERROR(VLOOKUP(B229,Listados!B$3:C$20,2,FALSE),"")</f>
        <v xml:space="preserve">Orientar la gestion de la entidad y del sector para que las acciones se deriven de una planeación eficiente y articulada que optimice 
el uso de los recursos en el logro de los objetivos institucionales. </v>
      </c>
      <c r="D229" s="502" t="s">
        <v>1679</v>
      </c>
      <c r="E229" s="149" t="s">
        <v>52</v>
      </c>
      <c r="F229" s="149" t="s">
        <v>189</v>
      </c>
      <c r="G229" s="137" t="s">
        <v>410</v>
      </c>
      <c r="H229" s="229" t="s">
        <v>16</v>
      </c>
      <c r="I229" s="229" t="s">
        <v>411</v>
      </c>
      <c r="J229" s="504" t="s">
        <v>53</v>
      </c>
      <c r="K229" s="466">
        <f>+VLOOKUP(J229,Listados!$K$8:$L$12,2,0)</f>
        <v>4</v>
      </c>
      <c r="L229" s="481" t="s">
        <v>36</v>
      </c>
      <c r="M229" s="466">
        <f>+VLOOKUP(L229,Listados!$K$13:$L$17,2,0)</f>
        <v>3</v>
      </c>
      <c r="N229" s="496" t="str">
        <f>IF(AND(J229&lt;&gt;"",L229&lt;&gt;""),VLOOKUP(J229&amp;L229,Listados!$M$3:$N$27,2,FALSE),"")</f>
        <v>Alto</v>
      </c>
      <c r="O229" s="149" t="s">
        <v>1680</v>
      </c>
      <c r="P229" s="149" t="s">
        <v>412</v>
      </c>
      <c r="Q229" s="137" t="s">
        <v>20</v>
      </c>
      <c r="R229" s="207" t="s">
        <v>116</v>
      </c>
      <c r="S229" s="208">
        <f t="shared" si="145"/>
        <v>15</v>
      </c>
      <c r="T229" s="207" t="s">
        <v>257</v>
      </c>
      <c r="U229" s="208">
        <f t="shared" si="146"/>
        <v>15</v>
      </c>
      <c r="V229" s="207" t="s">
        <v>257</v>
      </c>
      <c r="W229" s="208">
        <f t="shared" si="147"/>
        <v>15</v>
      </c>
      <c r="X229" s="207" t="s">
        <v>20</v>
      </c>
      <c r="Y229" s="208">
        <f t="shared" si="148"/>
        <v>15</v>
      </c>
      <c r="Z229" s="207" t="s">
        <v>257</v>
      </c>
      <c r="AA229" s="208">
        <f t="shared" si="149"/>
        <v>15</v>
      </c>
      <c r="AB229" s="207" t="s">
        <v>257</v>
      </c>
      <c r="AC229" s="208">
        <f t="shared" si="150"/>
        <v>15</v>
      </c>
      <c r="AD229" s="207" t="s">
        <v>117</v>
      </c>
      <c r="AE229" s="208">
        <f t="shared" si="151"/>
        <v>10</v>
      </c>
      <c r="AF229" s="270">
        <f t="shared" si="152"/>
        <v>100</v>
      </c>
      <c r="AG229" s="270" t="str">
        <f t="shared" si="153"/>
        <v>Fuerte</v>
      </c>
      <c r="AH229" s="209" t="s">
        <v>118</v>
      </c>
      <c r="AI229" s="210" t="str">
        <f t="shared" si="154"/>
        <v>Fuerte</v>
      </c>
      <c r="AJ229" s="211" t="str">
        <f>IFERROR(VLOOKUP((CONCATENATE(AG229,AI229)),Listados!$U$3:$V$11,2,FALSE),"")</f>
        <v>Fuerte</v>
      </c>
      <c r="AK229" s="270">
        <f t="shared" si="155"/>
        <v>100</v>
      </c>
      <c r="AL229" s="446">
        <f>AVERAGE(AK229:AK234)</f>
        <v>100</v>
      </c>
      <c r="AM229" s="448" t="str">
        <f>IF(AL229&lt;=50, "Débil", IF(AL229&lt;=99,"Moderado","Fuerte"))</f>
        <v>Fuerte</v>
      </c>
      <c r="AN229" s="269">
        <f>+IF(AND(Q229="Preventivo",AM229="Fuerte"),2,IF(AND(Q229="Preventivo",AM229="Moderado"),1,0))</f>
        <v>2</v>
      </c>
      <c r="AO229" s="269">
        <f t="shared" si="156"/>
        <v>0</v>
      </c>
      <c r="AP229" s="212">
        <f>+K229-AN229</f>
        <v>2</v>
      </c>
      <c r="AQ229" s="212">
        <f>+M229-AO229</f>
        <v>3</v>
      </c>
      <c r="AR229" s="435" t="str">
        <f>+VLOOKUP(MIN(AP229,AP230,AP231,AP232,AP233,AP234),Listados!$J$18:$K$24,2,TRUE)</f>
        <v>Improbable</v>
      </c>
      <c r="AS229" s="435" t="str">
        <f>+VLOOKUP(MIN(AQ229,AQ230,AQ231,AQ232,AQ233,AQ234),Listados!$J$27:$K$32,2,TRUE)</f>
        <v>Moderado</v>
      </c>
      <c r="AT229" s="435" t="str">
        <f>IF(AND(AR229&lt;&gt;"",AS229&lt;&gt;""),VLOOKUP(AR229&amp;AS229,Listados!$M$3:$N$27,2,FALSE),"")</f>
        <v>Moderado</v>
      </c>
      <c r="AU229" s="435" t="str">
        <f>+VLOOKUP(AT229,Listados!$P$3:$Q$6,2,FALSE)</f>
        <v xml:space="preserve"> Reducir el riesgo</v>
      </c>
      <c r="AV229" s="239" t="s">
        <v>1738</v>
      </c>
      <c r="AW229" s="326" t="s">
        <v>1048</v>
      </c>
      <c r="AX229" s="415">
        <v>44927</v>
      </c>
      <c r="AY229" s="416">
        <v>45291</v>
      </c>
      <c r="AZ229" s="239" t="s">
        <v>1049</v>
      </c>
      <c r="BA229" s="233" t="s">
        <v>1739</v>
      </c>
      <c r="BB229" s="632" t="s">
        <v>1496</v>
      </c>
      <c r="BC229" s="202" t="s">
        <v>1681</v>
      </c>
      <c r="BD229" s="427"/>
      <c r="BE229" s="606" t="s">
        <v>1532</v>
      </c>
      <c r="BF229" s="559" t="s">
        <v>1787</v>
      </c>
      <c r="BG229" s="559"/>
    </row>
    <row r="230" spans="1:59" ht="112">
      <c r="A230" s="437"/>
      <c r="B230" s="439"/>
      <c r="C230" s="500"/>
      <c r="D230" s="502"/>
      <c r="E230" s="149"/>
      <c r="F230" s="149"/>
      <c r="G230" s="137" t="s">
        <v>413</v>
      </c>
      <c r="H230" s="137" t="s">
        <v>16</v>
      </c>
      <c r="I230" s="137" t="s">
        <v>414</v>
      </c>
      <c r="J230" s="495"/>
      <c r="K230" s="467"/>
      <c r="L230" s="478"/>
      <c r="M230" s="467"/>
      <c r="N230" s="497"/>
      <c r="O230" s="149" t="s">
        <v>415</v>
      </c>
      <c r="P230" s="149" t="s">
        <v>410</v>
      </c>
      <c r="Q230" s="137" t="s">
        <v>20</v>
      </c>
      <c r="R230" s="207" t="s">
        <v>116</v>
      </c>
      <c r="S230" s="208">
        <f t="shared" si="145"/>
        <v>15</v>
      </c>
      <c r="T230" s="207" t="s">
        <v>257</v>
      </c>
      <c r="U230" s="208">
        <f t="shared" si="146"/>
        <v>15</v>
      </c>
      <c r="V230" s="207" t="s">
        <v>257</v>
      </c>
      <c r="W230" s="208">
        <f t="shared" si="147"/>
        <v>15</v>
      </c>
      <c r="X230" s="207" t="s">
        <v>20</v>
      </c>
      <c r="Y230" s="208">
        <f t="shared" si="148"/>
        <v>15</v>
      </c>
      <c r="Z230" s="207" t="s">
        <v>257</v>
      </c>
      <c r="AA230" s="208">
        <f t="shared" si="149"/>
        <v>15</v>
      </c>
      <c r="AB230" s="207" t="s">
        <v>257</v>
      </c>
      <c r="AC230" s="208">
        <f t="shared" si="150"/>
        <v>15</v>
      </c>
      <c r="AD230" s="207" t="s">
        <v>117</v>
      </c>
      <c r="AE230" s="208">
        <f t="shared" si="151"/>
        <v>10</v>
      </c>
      <c r="AF230" s="270">
        <f t="shared" si="152"/>
        <v>100</v>
      </c>
      <c r="AG230" s="270" t="str">
        <f t="shared" si="153"/>
        <v>Fuerte</v>
      </c>
      <c r="AH230" s="209" t="s">
        <v>118</v>
      </c>
      <c r="AI230" s="210" t="str">
        <f t="shared" si="154"/>
        <v>Fuerte</v>
      </c>
      <c r="AJ230" s="211" t="str">
        <f>IFERROR(VLOOKUP((CONCATENATE(AG230,AI230)),Listados!$U$3:$V$11,2,FALSE),"")</f>
        <v>Fuerte</v>
      </c>
      <c r="AK230" s="270">
        <f t="shared" si="155"/>
        <v>100</v>
      </c>
      <c r="AL230" s="447"/>
      <c r="AM230" s="449"/>
      <c r="AN230" s="269">
        <f>+IF(AND(Q230="Preventivo",AM229="Fuerte"),2,IF(AND(Q230="Preventivo",AM229="Moderado"),1,0))</f>
        <v>2</v>
      </c>
      <c r="AO230" s="269">
        <f t="shared" si="156"/>
        <v>0</v>
      </c>
      <c r="AP230" s="212">
        <f>+K229-AN230</f>
        <v>2</v>
      </c>
      <c r="AQ230" s="212">
        <f>+M229-AO230</f>
        <v>3</v>
      </c>
      <c r="AR230" s="433"/>
      <c r="AS230" s="433"/>
      <c r="AT230" s="433"/>
      <c r="AU230" s="433"/>
      <c r="AV230" s="199" t="s">
        <v>1076</v>
      </c>
      <c r="AW230" s="198" t="s">
        <v>1071</v>
      </c>
      <c r="AX230" s="257">
        <v>44927</v>
      </c>
      <c r="AY230" s="257">
        <v>45291</v>
      </c>
      <c r="AZ230" s="200" t="s">
        <v>1077</v>
      </c>
      <c r="BA230" s="200" t="s">
        <v>1078</v>
      </c>
      <c r="BB230" s="555"/>
      <c r="BC230" s="202" t="s">
        <v>1686</v>
      </c>
      <c r="BD230" s="430"/>
      <c r="BE230" s="549"/>
      <c r="BF230" s="549"/>
      <c r="BG230" s="549"/>
    </row>
    <row r="231" spans="1:59" ht="98">
      <c r="A231" s="437"/>
      <c r="B231" s="439"/>
      <c r="C231" s="500"/>
      <c r="D231" s="502"/>
      <c r="E231" s="149"/>
      <c r="F231" s="149"/>
      <c r="G231" s="137" t="s">
        <v>412</v>
      </c>
      <c r="H231" s="137" t="s">
        <v>16</v>
      </c>
      <c r="I231" s="137" t="s">
        <v>416</v>
      </c>
      <c r="J231" s="495"/>
      <c r="K231" s="467"/>
      <c r="L231" s="478"/>
      <c r="M231" s="467"/>
      <c r="N231" s="497"/>
      <c r="O231" s="149" t="s">
        <v>417</v>
      </c>
      <c r="P231" s="149" t="s">
        <v>412</v>
      </c>
      <c r="Q231" s="137" t="s">
        <v>20</v>
      </c>
      <c r="R231" s="207" t="s">
        <v>116</v>
      </c>
      <c r="S231" s="208">
        <f t="shared" si="145"/>
        <v>15</v>
      </c>
      <c r="T231" s="207" t="s">
        <v>257</v>
      </c>
      <c r="U231" s="208">
        <f t="shared" si="146"/>
        <v>15</v>
      </c>
      <c r="V231" s="207" t="s">
        <v>257</v>
      </c>
      <c r="W231" s="208">
        <f t="shared" si="147"/>
        <v>15</v>
      </c>
      <c r="X231" s="207" t="s">
        <v>20</v>
      </c>
      <c r="Y231" s="208">
        <f t="shared" si="148"/>
        <v>15</v>
      </c>
      <c r="Z231" s="207" t="s">
        <v>257</v>
      </c>
      <c r="AA231" s="208">
        <f t="shared" si="149"/>
        <v>15</v>
      </c>
      <c r="AB231" s="207" t="s">
        <v>257</v>
      </c>
      <c r="AC231" s="208">
        <f t="shared" si="150"/>
        <v>15</v>
      </c>
      <c r="AD231" s="207" t="s">
        <v>117</v>
      </c>
      <c r="AE231" s="208">
        <f t="shared" si="151"/>
        <v>10</v>
      </c>
      <c r="AF231" s="270">
        <f t="shared" si="152"/>
        <v>100</v>
      </c>
      <c r="AG231" s="270" t="str">
        <f t="shared" si="153"/>
        <v>Fuerte</v>
      </c>
      <c r="AH231" s="209" t="s">
        <v>118</v>
      </c>
      <c r="AI231" s="210" t="str">
        <f t="shared" si="154"/>
        <v>Fuerte</v>
      </c>
      <c r="AJ231" s="211" t="str">
        <f>IFERROR(VLOOKUP((CONCATENATE(AG231,AI231)),Listados!$U$3:$V$11,2,FALSE),"")</f>
        <v>Fuerte</v>
      </c>
      <c r="AK231" s="270">
        <f t="shared" si="155"/>
        <v>100</v>
      </c>
      <c r="AL231" s="447"/>
      <c r="AM231" s="449"/>
      <c r="AN231" s="269">
        <f>+IF(AND(Q231="Preventivo",AM229="Fuerte"),2,IF(AND(Q231="Preventivo",AM229="Moderado"),1,0))</f>
        <v>2</v>
      </c>
      <c r="AO231" s="269">
        <f t="shared" si="156"/>
        <v>0</v>
      </c>
      <c r="AP231" s="212">
        <f>+K229-AN231</f>
        <v>2</v>
      </c>
      <c r="AQ231" s="212">
        <f>+M229-AO231</f>
        <v>3</v>
      </c>
      <c r="AR231" s="433"/>
      <c r="AS231" s="433"/>
      <c r="AT231" s="433"/>
      <c r="AU231" s="433"/>
      <c r="AV231" s="201"/>
      <c r="AW231" s="201"/>
      <c r="AX231" s="201"/>
      <c r="AY231" s="201"/>
      <c r="AZ231" s="201"/>
      <c r="BA231" s="201"/>
      <c r="BB231" s="354" t="s">
        <v>1497</v>
      </c>
      <c r="BC231" s="282"/>
      <c r="BD231" s="430"/>
      <c r="BE231" s="549"/>
      <c r="BF231" s="549"/>
      <c r="BG231" s="549"/>
    </row>
    <row r="232" spans="1:59" ht="126">
      <c r="A232" s="437"/>
      <c r="B232" s="439"/>
      <c r="C232" s="500"/>
      <c r="D232" s="502"/>
      <c r="E232" s="149"/>
      <c r="F232" s="149"/>
      <c r="G232" s="137"/>
      <c r="H232" s="137"/>
      <c r="I232" s="137" t="s">
        <v>418</v>
      </c>
      <c r="J232" s="495"/>
      <c r="K232" s="467"/>
      <c r="L232" s="478"/>
      <c r="M232" s="467"/>
      <c r="N232" s="497"/>
      <c r="O232" s="149" t="s">
        <v>419</v>
      </c>
      <c r="P232" s="149" t="s">
        <v>410</v>
      </c>
      <c r="Q232" s="137" t="s">
        <v>20</v>
      </c>
      <c r="R232" s="207" t="s">
        <v>116</v>
      </c>
      <c r="S232" s="208">
        <f t="shared" si="145"/>
        <v>15</v>
      </c>
      <c r="T232" s="207" t="s">
        <v>257</v>
      </c>
      <c r="U232" s="208">
        <f t="shared" si="146"/>
        <v>15</v>
      </c>
      <c r="V232" s="207" t="s">
        <v>257</v>
      </c>
      <c r="W232" s="208">
        <f t="shared" si="147"/>
        <v>15</v>
      </c>
      <c r="X232" s="207" t="s">
        <v>20</v>
      </c>
      <c r="Y232" s="208">
        <f t="shared" si="148"/>
        <v>15</v>
      </c>
      <c r="Z232" s="207" t="s">
        <v>257</v>
      </c>
      <c r="AA232" s="208">
        <f t="shared" si="149"/>
        <v>15</v>
      </c>
      <c r="AB232" s="207" t="s">
        <v>257</v>
      </c>
      <c r="AC232" s="208">
        <f t="shared" si="150"/>
        <v>15</v>
      </c>
      <c r="AD232" s="207" t="s">
        <v>117</v>
      </c>
      <c r="AE232" s="208">
        <f t="shared" si="151"/>
        <v>10</v>
      </c>
      <c r="AF232" s="270">
        <f t="shared" si="152"/>
        <v>100</v>
      </c>
      <c r="AG232" s="270" t="str">
        <f t="shared" si="153"/>
        <v>Fuerte</v>
      </c>
      <c r="AH232" s="209" t="s">
        <v>118</v>
      </c>
      <c r="AI232" s="210" t="str">
        <f t="shared" si="154"/>
        <v>Fuerte</v>
      </c>
      <c r="AJ232" s="211" t="str">
        <f>IFERROR(VLOOKUP((CONCATENATE(AG232,AI232)),Listados!$U$3:$V$11,2,FALSE),"")</f>
        <v>Fuerte</v>
      </c>
      <c r="AK232" s="270">
        <f t="shared" si="155"/>
        <v>100</v>
      </c>
      <c r="AL232" s="447"/>
      <c r="AM232" s="449"/>
      <c r="AN232" s="269">
        <f>+IF(AND(Q232="Preventivo",AM229="Fuerte"),2,IF(AND(Q232="Preventivo",AM229="Moderado"),1,0))</f>
        <v>2</v>
      </c>
      <c r="AO232" s="269">
        <f t="shared" si="156"/>
        <v>0</v>
      </c>
      <c r="AP232" s="212">
        <f>+K229-AN232</f>
        <v>2</v>
      </c>
      <c r="AQ232" s="212">
        <f>+M229-AO232</f>
        <v>3</v>
      </c>
      <c r="AR232" s="433"/>
      <c r="AS232" s="433"/>
      <c r="AT232" s="433"/>
      <c r="AU232" s="433"/>
      <c r="AV232" s="201"/>
      <c r="AW232" s="201"/>
      <c r="AX232" s="201"/>
      <c r="AY232" s="201"/>
      <c r="AZ232" s="201"/>
      <c r="BA232" s="201"/>
      <c r="BB232" s="354"/>
      <c r="BC232" s="282"/>
      <c r="BD232" s="430"/>
      <c r="BE232" s="549"/>
      <c r="BF232" s="549"/>
      <c r="BG232" s="549"/>
    </row>
    <row r="233" spans="1:59">
      <c r="A233" s="437"/>
      <c r="B233" s="439"/>
      <c r="C233" s="500"/>
      <c r="D233" s="502"/>
      <c r="E233" s="149"/>
      <c r="F233" s="149"/>
      <c r="G233" s="137"/>
      <c r="H233" s="137"/>
      <c r="I233" s="137"/>
      <c r="J233" s="495"/>
      <c r="K233" s="467"/>
      <c r="L233" s="478"/>
      <c r="M233" s="467"/>
      <c r="N233" s="497"/>
      <c r="O233" s="149"/>
      <c r="P233" s="137"/>
      <c r="Q233" s="137"/>
      <c r="R233" s="231"/>
      <c r="S233" s="208" t="str">
        <f t="shared" si="145"/>
        <v/>
      </c>
      <c r="T233" s="231"/>
      <c r="U233" s="208" t="str">
        <f t="shared" si="146"/>
        <v/>
      </c>
      <c r="V233" s="207"/>
      <c r="W233" s="208" t="str">
        <f t="shared" si="147"/>
        <v/>
      </c>
      <c r="X233" s="207"/>
      <c r="Y233" s="208" t="str">
        <f t="shared" si="148"/>
        <v/>
      </c>
      <c r="Z233" s="207"/>
      <c r="AA233" s="208" t="str">
        <f t="shared" si="149"/>
        <v/>
      </c>
      <c r="AB233" s="207"/>
      <c r="AC233" s="208" t="str">
        <f t="shared" si="150"/>
        <v/>
      </c>
      <c r="AD233" s="207"/>
      <c r="AE233" s="208" t="str">
        <f t="shared" si="151"/>
        <v/>
      </c>
      <c r="AF233" s="270" t="str">
        <f t="shared" si="152"/>
        <v/>
      </c>
      <c r="AG233" s="270" t="str">
        <f t="shared" si="153"/>
        <v/>
      </c>
      <c r="AH233" s="209"/>
      <c r="AI233" s="210" t="str">
        <f t="shared" si="154"/>
        <v>Débil</v>
      </c>
      <c r="AJ233" s="211" t="str">
        <f>IFERROR(VLOOKUP((CONCATENATE(AG233,AI233)),Listados!$U$3:$V$11,2,FALSE),"")</f>
        <v/>
      </c>
      <c r="AK233" s="270">
        <f t="shared" si="155"/>
        <v>100</v>
      </c>
      <c r="AL233" s="447"/>
      <c r="AM233" s="449"/>
      <c r="AN233" s="269">
        <f>+IF(AND(Q233="Preventivo",AM229="Fuerte"),2,IF(AND(Q233="Preventivo",AM229="Moderado"),1,0))</f>
        <v>0</v>
      </c>
      <c r="AO233" s="269">
        <f t="shared" si="156"/>
        <v>0</v>
      </c>
      <c r="AP233" s="212">
        <f>+K229-AN233</f>
        <v>4</v>
      </c>
      <c r="AQ233" s="212">
        <f>+M229-AO233</f>
        <v>3</v>
      </c>
      <c r="AR233" s="433"/>
      <c r="AS233" s="433"/>
      <c r="AT233" s="433"/>
      <c r="AU233" s="433"/>
      <c r="AV233" s="201"/>
      <c r="AW233" s="201"/>
      <c r="AX233" s="201"/>
      <c r="AY233" s="201"/>
      <c r="AZ233" s="201"/>
      <c r="BA233" s="201"/>
      <c r="BB233" s="354"/>
      <c r="BC233" s="282"/>
      <c r="BD233" s="430"/>
      <c r="BE233" s="549"/>
      <c r="BF233" s="549"/>
      <c r="BG233" s="549"/>
    </row>
    <row r="234" spans="1:59" ht="14.5" thickBot="1">
      <c r="A234" s="438"/>
      <c r="B234" s="439"/>
      <c r="C234" s="500"/>
      <c r="D234" s="502"/>
      <c r="E234" s="149"/>
      <c r="F234" s="149"/>
      <c r="G234" s="137"/>
      <c r="H234" s="137"/>
      <c r="I234" s="137"/>
      <c r="J234" s="495"/>
      <c r="K234" s="468"/>
      <c r="L234" s="478"/>
      <c r="M234" s="468"/>
      <c r="N234" s="497"/>
      <c r="O234" s="149"/>
      <c r="P234" s="137"/>
      <c r="Q234" s="137"/>
      <c r="R234" s="231"/>
      <c r="S234" s="208" t="str">
        <f t="shared" ref="S234:S297" si="169">+IF(R234="si",15,"")</f>
        <v/>
      </c>
      <c r="T234" s="231"/>
      <c r="U234" s="208" t="str">
        <f t="shared" ref="U234:U297" si="170">+IF(T234="si",15,"")</f>
        <v/>
      </c>
      <c r="V234" s="207"/>
      <c r="W234" s="208" t="str">
        <f t="shared" ref="W234:W297" si="171">+IF(V234="si",15,"")</f>
        <v/>
      </c>
      <c r="X234" s="207"/>
      <c r="Y234" s="208" t="str">
        <f t="shared" ref="Y234:Y297" si="172">+IF(X234="Preventivo",15,IF(X234="Detectivo",10,""))</f>
        <v/>
      </c>
      <c r="Z234" s="207"/>
      <c r="AA234" s="208" t="str">
        <f t="shared" ref="AA234:AA297" si="173">+IF(Z234="si",15,"")</f>
        <v/>
      </c>
      <c r="AB234" s="207"/>
      <c r="AC234" s="208" t="str">
        <f t="shared" ref="AC234:AC297" si="174">+IF(AB234="si",15,"")</f>
        <v/>
      </c>
      <c r="AD234" s="207"/>
      <c r="AE234" s="208" t="str">
        <f t="shared" ref="AE234:AE297" si="175">+IF(AD234="Completa",10,IF(AD234="Incompleta",5,""))</f>
        <v/>
      </c>
      <c r="AF234" s="270" t="str">
        <f t="shared" ref="AF234:AF297" si="176">IF((SUM(S234,U234,W234,Y234,AA234,AC234,AE234)=0),"",(SUM(S234,U234,W234,Y234,AA234,AC234,AE234)))</f>
        <v/>
      </c>
      <c r="AG234" s="270" t="str">
        <f t="shared" ref="AG234:AG297" si="177">IF(AF234&lt;=85,"Débil",IF(AF234&lt;=95,"Moderado",IF(AF234=100,"Fuerte","")))</f>
        <v/>
      </c>
      <c r="AH234" s="209"/>
      <c r="AI234" s="210" t="str">
        <f t="shared" si="154"/>
        <v>Débil</v>
      </c>
      <c r="AJ234" s="211" t="str">
        <f>IFERROR(VLOOKUP((CONCATENATE(AG234,AI234)),Listados!$U$3:$V$11,2,FALSE),"")</f>
        <v/>
      </c>
      <c r="AK234" s="270">
        <f t="shared" si="155"/>
        <v>100</v>
      </c>
      <c r="AL234" s="448"/>
      <c r="AM234" s="449"/>
      <c r="AN234" s="269">
        <f>+IF(AND(Q234="Preventivo",AM229="Fuerte"),2,IF(AND(Q234="Preventivo",AM229="Moderado"),1,0))</f>
        <v>0</v>
      </c>
      <c r="AO234" s="269">
        <f t="shared" si="156"/>
        <v>0</v>
      </c>
      <c r="AP234" s="212">
        <f>+K229-AN234</f>
        <v>4</v>
      </c>
      <c r="AQ234" s="212">
        <f>+M229-AO234</f>
        <v>3</v>
      </c>
      <c r="AR234" s="434"/>
      <c r="AS234" s="434"/>
      <c r="AT234" s="434"/>
      <c r="AU234" s="434"/>
      <c r="AV234" s="418"/>
      <c r="AW234" s="418"/>
      <c r="AX234" s="418"/>
      <c r="AY234" s="418"/>
      <c r="AZ234" s="418"/>
      <c r="BA234" s="418"/>
      <c r="BB234" s="354"/>
      <c r="BC234" s="282"/>
      <c r="BD234" s="431"/>
      <c r="BE234" s="550"/>
      <c r="BF234" s="550"/>
      <c r="BG234" s="550"/>
    </row>
    <row r="235" spans="1:59" ht="154">
      <c r="A235" s="436">
        <v>40</v>
      </c>
      <c r="B235" s="439" t="s">
        <v>60</v>
      </c>
      <c r="C235" s="499" t="str">
        <f>IFERROR(VLOOKUP(B235,Listados!B$3:C$20,2,FALSE),"")</f>
        <v xml:space="preserve">Orientar la gestion de la entidad y del sector para que las acciones se deriven de una planeación eficiente y articulada que optimice 
el uso de los recursos en el logro de los objetivos institucionales. </v>
      </c>
      <c r="D235" s="502" t="s">
        <v>1277</v>
      </c>
      <c r="E235" s="149" t="s">
        <v>52</v>
      </c>
      <c r="F235" s="149" t="s">
        <v>189</v>
      </c>
      <c r="G235" s="137" t="s">
        <v>420</v>
      </c>
      <c r="H235" s="229" t="s">
        <v>16</v>
      </c>
      <c r="I235" s="229" t="s">
        <v>414</v>
      </c>
      <c r="J235" s="504" t="s">
        <v>44</v>
      </c>
      <c r="K235" s="466">
        <f>+VLOOKUP(J235,Listados!$K$8:$L$12,2,0)</f>
        <v>3</v>
      </c>
      <c r="L235" s="481" t="s">
        <v>36</v>
      </c>
      <c r="M235" s="466">
        <f>+VLOOKUP(L235,Listados!$K$13:$L$17,2,0)</f>
        <v>3</v>
      </c>
      <c r="N235" s="496" t="str">
        <f>IF(AND(J235&lt;&gt;"",L235&lt;&gt;""),VLOOKUP(J235&amp;L235,Listados!$M$3:$N$27,2,FALSE),"")</f>
        <v>Alto</v>
      </c>
      <c r="O235" s="290" t="s">
        <v>421</v>
      </c>
      <c r="P235" s="151" t="s">
        <v>420</v>
      </c>
      <c r="Q235" s="151" t="s">
        <v>20</v>
      </c>
      <c r="R235" s="207" t="s">
        <v>116</v>
      </c>
      <c r="S235" s="208">
        <f t="shared" si="169"/>
        <v>15</v>
      </c>
      <c r="T235" s="207" t="s">
        <v>257</v>
      </c>
      <c r="U235" s="208">
        <f t="shared" si="170"/>
        <v>15</v>
      </c>
      <c r="V235" s="207" t="s">
        <v>257</v>
      </c>
      <c r="W235" s="208">
        <f t="shared" si="171"/>
        <v>15</v>
      </c>
      <c r="X235" s="207" t="s">
        <v>20</v>
      </c>
      <c r="Y235" s="208">
        <f t="shared" si="172"/>
        <v>15</v>
      </c>
      <c r="Z235" s="207" t="s">
        <v>257</v>
      </c>
      <c r="AA235" s="208">
        <f t="shared" si="173"/>
        <v>15</v>
      </c>
      <c r="AB235" s="207" t="s">
        <v>257</v>
      </c>
      <c r="AC235" s="208">
        <f t="shared" si="174"/>
        <v>15</v>
      </c>
      <c r="AD235" s="207" t="s">
        <v>117</v>
      </c>
      <c r="AE235" s="208">
        <f t="shared" si="175"/>
        <v>10</v>
      </c>
      <c r="AF235" s="270">
        <f t="shared" si="176"/>
        <v>100</v>
      </c>
      <c r="AG235" s="270" t="str">
        <f t="shared" si="177"/>
        <v>Fuerte</v>
      </c>
      <c r="AH235" s="209" t="s">
        <v>118</v>
      </c>
      <c r="AI235" s="210" t="str">
        <f t="shared" ref="AI235:AI298" si="178">+IF(AH235="siempre","Fuerte",IF(AH235="Algunas veces","Moderado","Débil"))</f>
        <v>Fuerte</v>
      </c>
      <c r="AJ235" s="211" t="str">
        <f>IFERROR(VLOOKUP((CONCATENATE(AG235,AI235)),Listados!$U$3:$V$11,2,FALSE),"")</f>
        <v>Fuerte</v>
      </c>
      <c r="AK235" s="270">
        <f t="shared" ref="AK235:AK298" si="179">IF(ISBLANK(AJ235),"",IF(AJ235="Débil", 0, IF(AJ235="Moderado",50,100)))</f>
        <v>100</v>
      </c>
      <c r="AL235" s="446">
        <f>AVERAGE(AK235:AK240)</f>
        <v>100</v>
      </c>
      <c r="AM235" s="448" t="str">
        <f>IF(AL235&lt;=50, "Débil", IF(AL235&lt;=99,"Moderado","Fuerte"))</f>
        <v>Fuerte</v>
      </c>
      <c r="AN235" s="269">
        <f>+IF(AND(Q235="Preventivo",AM235="Fuerte"),2,IF(AND(Q235="Preventivo",AM235="Moderado"),1,0))</f>
        <v>2</v>
      </c>
      <c r="AO235" s="269">
        <f t="shared" si="156"/>
        <v>0</v>
      </c>
      <c r="AP235" s="212">
        <f>+K235-AN235</f>
        <v>1</v>
      </c>
      <c r="AQ235" s="212">
        <f>+M235-AO235</f>
        <v>3</v>
      </c>
      <c r="AR235" s="435" t="str">
        <f>+VLOOKUP(MIN(AP235,AP236,AP237,AP238,AP239,AP240),Listados!$J$18:$K$24,2,TRUE)</f>
        <v>Rara Vez</v>
      </c>
      <c r="AS235" s="435" t="str">
        <f>+VLOOKUP(MIN(AQ235,AQ236,AQ237,AQ238,AQ239,AQ240),Listados!$J$27:$K$32,2,TRUE)</f>
        <v>Moderado</v>
      </c>
      <c r="AT235" s="435" t="str">
        <f>IF(AND(AR235&lt;&gt;"",AS235&lt;&gt;""),VLOOKUP(AR235&amp;AS235,Listados!$M$3:$N$27,2,FALSE),"")</f>
        <v>Moderado</v>
      </c>
      <c r="AU235" s="435" t="str">
        <f>+VLOOKUP(AT235,Listados!$P$3:$Q$6,2,FALSE)</f>
        <v xml:space="preserve"> Reducir el riesgo</v>
      </c>
      <c r="AV235" s="395" t="s">
        <v>1744</v>
      </c>
      <c r="AW235" s="395" t="s">
        <v>1050</v>
      </c>
      <c r="AX235" s="419">
        <v>44927</v>
      </c>
      <c r="AY235" s="419">
        <v>45291</v>
      </c>
      <c r="AZ235" s="395" t="s">
        <v>1049</v>
      </c>
      <c r="BA235" s="395" t="s">
        <v>1740</v>
      </c>
      <c r="BB235" s="417" t="s">
        <v>1464</v>
      </c>
      <c r="BC235" s="202" t="s">
        <v>1677</v>
      </c>
      <c r="BD235" s="427"/>
      <c r="BE235" s="556" t="s">
        <v>1533</v>
      </c>
      <c r="BF235" s="559" t="s">
        <v>1788</v>
      </c>
      <c r="BG235" s="559"/>
    </row>
    <row r="236" spans="1:59" ht="135" customHeight="1">
      <c r="A236" s="437"/>
      <c r="B236" s="439"/>
      <c r="C236" s="500"/>
      <c r="D236" s="502"/>
      <c r="E236" s="149"/>
      <c r="F236" s="149"/>
      <c r="G236" s="149" t="s">
        <v>422</v>
      </c>
      <c r="H236" s="137" t="s">
        <v>16</v>
      </c>
      <c r="I236" s="137" t="s">
        <v>423</v>
      </c>
      <c r="J236" s="495"/>
      <c r="K236" s="467"/>
      <c r="L236" s="478"/>
      <c r="M236" s="467"/>
      <c r="N236" s="497"/>
      <c r="O236" s="698" t="s">
        <v>424</v>
      </c>
      <c r="P236" s="151" t="s">
        <v>422</v>
      </c>
      <c r="Q236" s="151" t="s">
        <v>123</v>
      </c>
      <c r="R236" s="207" t="s">
        <v>116</v>
      </c>
      <c r="S236" s="208">
        <f t="shared" si="169"/>
        <v>15</v>
      </c>
      <c r="T236" s="207" t="s">
        <v>257</v>
      </c>
      <c r="U236" s="208">
        <f t="shared" si="170"/>
        <v>15</v>
      </c>
      <c r="V236" s="207" t="s">
        <v>257</v>
      </c>
      <c r="W236" s="208">
        <f t="shared" si="171"/>
        <v>15</v>
      </c>
      <c r="X236" s="207" t="s">
        <v>20</v>
      </c>
      <c r="Y236" s="208">
        <f t="shared" si="172"/>
        <v>15</v>
      </c>
      <c r="Z236" s="207" t="s">
        <v>257</v>
      </c>
      <c r="AA236" s="208">
        <f t="shared" si="173"/>
        <v>15</v>
      </c>
      <c r="AB236" s="207" t="s">
        <v>257</v>
      </c>
      <c r="AC236" s="208">
        <f t="shared" si="174"/>
        <v>15</v>
      </c>
      <c r="AD236" s="207" t="s">
        <v>117</v>
      </c>
      <c r="AE236" s="208">
        <f t="shared" si="175"/>
        <v>10</v>
      </c>
      <c r="AF236" s="270">
        <f t="shared" si="176"/>
        <v>100</v>
      </c>
      <c r="AG236" s="270" t="str">
        <f t="shared" si="177"/>
        <v>Fuerte</v>
      </c>
      <c r="AH236" s="209" t="s">
        <v>118</v>
      </c>
      <c r="AI236" s="210" t="str">
        <f t="shared" si="178"/>
        <v>Fuerte</v>
      </c>
      <c r="AJ236" s="211" t="str">
        <f>IFERROR(VLOOKUP((CONCATENATE(AG236,AI236)),Listados!$U$3:$V$11,2,FALSE),"")</f>
        <v>Fuerte</v>
      </c>
      <c r="AK236" s="270">
        <f t="shared" si="179"/>
        <v>100</v>
      </c>
      <c r="AL236" s="447"/>
      <c r="AM236" s="449"/>
      <c r="AN236" s="269">
        <f>+IF(AND(Q236="Preventivo",AM235="Fuerte"),2,IF(AND(Q236="Preventivo",AM235="Moderado"),1,0))</f>
        <v>0</v>
      </c>
      <c r="AO236" s="269">
        <f t="shared" si="156"/>
        <v>0</v>
      </c>
      <c r="AP236" s="212">
        <f>+K235-AN236</f>
        <v>3</v>
      </c>
      <c r="AQ236" s="212">
        <f>+M235-AO236</f>
        <v>3</v>
      </c>
      <c r="AR236" s="433"/>
      <c r="AS236" s="433"/>
      <c r="AT236" s="433"/>
      <c r="AU236" s="433"/>
      <c r="AV236" s="395" t="s">
        <v>1741</v>
      </c>
      <c r="AW236" s="395" t="s">
        <v>1071</v>
      </c>
      <c r="AX236" s="419">
        <v>44927</v>
      </c>
      <c r="AY236" s="419">
        <v>45291</v>
      </c>
      <c r="AZ236" s="395" t="s">
        <v>1072</v>
      </c>
      <c r="BA236" s="395" t="s">
        <v>1742</v>
      </c>
      <c r="BB236" s="344" t="s">
        <v>1465</v>
      </c>
      <c r="BC236" s="698" t="s">
        <v>1678</v>
      </c>
      <c r="BD236" s="430"/>
      <c r="BE236" s="557"/>
      <c r="BF236" s="549"/>
      <c r="BG236" s="549"/>
    </row>
    <row r="237" spans="1:59" ht="60" customHeight="1">
      <c r="A237" s="437"/>
      <c r="B237" s="439"/>
      <c r="C237" s="500"/>
      <c r="D237" s="502"/>
      <c r="E237" s="149"/>
      <c r="F237" s="149"/>
      <c r="G237" s="149" t="s">
        <v>425</v>
      </c>
      <c r="H237" s="137" t="s">
        <v>16</v>
      </c>
      <c r="I237" s="137" t="s">
        <v>426</v>
      </c>
      <c r="J237" s="495"/>
      <c r="K237" s="467"/>
      <c r="L237" s="478"/>
      <c r="M237" s="467"/>
      <c r="N237" s="497"/>
      <c r="O237" s="452"/>
      <c r="P237" s="151" t="s">
        <v>427</v>
      </c>
      <c r="Q237" s="151" t="s">
        <v>123</v>
      </c>
      <c r="R237" s="207" t="s">
        <v>116</v>
      </c>
      <c r="S237" s="208">
        <f t="shared" si="169"/>
        <v>15</v>
      </c>
      <c r="T237" s="207" t="s">
        <v>257</v>
      </c>
      <c r="U237" s="208">
        <f t="shared" si="170"/>
        <v>15</v>
      </c>
      <c r="V237" s="207" t="s">
        <v>257</v>
      </c>
      <c r="W237" s="208">
        <f t="shared" si="171"/>
        <v>15</v>
      </c>
      <c r="X237" s="207" t="s">
        <v>20</v>
      </c>
      <c r="Y237" s="208">
        <f t="shared" si="172"/>
        <v>15</v>
      </c>
      <c r="Z237" s="207" t="s">
        <v>257</v>
      </c>
      <c r="AA237" s="208">
        <f t="shared" si="173"/>
        <v>15</v>
      </c>
      <c r="AB237" s="207" t="s">
        <v>257</v>
      </c>
      <c r="AC237" s="208">
        <f t="shared" si="174"/>
        <v>15</v>
      </c>
      <c r="AD237" s="207" t="s">
        <v>117</v>
      </c>
      <c r="AE237" s="208">
        <f t="shared" si="175"/>
        <v>10</v>
      </c>
      <c r="AF237" s="270">
        <f t="shared" si="176"/>
        <v>100</v>
      </c>
      <c r="AG237" s="270" t="str">
        <f t="shared" si="177"/>
        <v>Fuerte</v>
      </c>
      <c r="AH237" s="209" t="s">
        <v>118</v>
      </c>
      <c r="AI237" s="210" t="str">
        <f t="shared" si="178"/>
        <v>Fuerte</v>
      </c>
      <c r="AJ237" s="211" t="str">
        <f>IFERROR(VLOOKUP((CONCATENATE(AG237,AI237)),Listados!$U$3:$V$11,2,FALSE),"")</f>
        <v>Fuerte</v>
      </c>
      <c r="AK237" s="270">
        <f t="shared" si="179"/>
        <v>100</v>
      </c>
      <c r="AL237" s="447"/>
      <c r="AM237" s="449"/>
      <c r="AN237" s="269">
        <f>+IF(AND(Q237="Preventivo",AM235="Fuerte"),2,IF(AND(Q237="Preventivo",AM235="Moderado"),1,0))</f>
        <v>0</v>
      </c>
      <c r="AO237" s="269">
        <f t="shared" si="156"/>
        <v>0</v>
      </c>
      <c r="AP237" s="212">
        <f>+K235-AN237</f>
        <v>3</v>
      </c>
      <c r="AQ237" s="212">
        <f>+M235-AO237</f>
        <v>3</v>
      </c>
      <c r="AR237" s="433"/>
      <c r="AS237" s="433"/>
      <c r="AT237" s="433"/>
      <c r="AU237" s="433"/>
      <c r="AV237" s="395" t="s">
        <v>1743</v>
      </c>
      <c r="AW237" s="395" t="s">
        <v>1071</v>
      </c>
      <c r="AX237" s="419">
        <v>44927</v>
      </c>
      <c r="AY237" s="419">
        <v>45291</v>
      </c>
      <c r="AZ237" s="395" t="s">
        <v>1072</v>
      </c>
      <c r="BA237" s="395" t="s">
        <v>1742</v>
      </c>
      <c r="BB237" s="344" t="s">
        <v>1498</v>
      </c>
      <c r="BC237" s="452"/>
      <c r="BD237" s="430"/>
      <c r="BE237" s="557"/>
      <c r="BF237" s="549"/>
      <c r="BG237" s="549"/>
    </row>
    <row r="238" spans="1:59" ht="84">
      <c r="A238" s="437"/>
      <c r="B238" s="439"/>
      <c r="C238" s="500"/>
      <c r="D238" s="502"/>
      <c r="E238" s="149"/>
      <c r="F238" s="149"/>
      <c r="G238" s="149" t="s">
        <v>427</v>
      </c>
      <c r="H238" s="137" t="s">
        <v>16</v>
      </c>
      <c r="I238" s="137" t="s">
        <v>428</v>
      </c>
      <c r="J238" s="495"/>
      <c r="K238" s="467"/>
      <c r="L238" s="478"/>
      <c r="M238" s="467"/>
      <c r="N238" s="497"/>
      <c r="O238" s="272" t="s">
        <v>429</v>
      </c>
      <c r="P238" s="151" t="s">
        <v>425</v>
      </c>
      <c r="Q238" s="151" t="s">
        <v>123</v>
      </c>
      <c r="R238" s="207" t="s">
        <v>116</v>
      </c>
      <c r="S238" s="208">
        <f t="shared" si="169"/>
        <v>15</v>
      </c>
      <c r="T238" s="207" t="s">
        <v>257</v>
      </c>
      <c r="U238" s="208">
        <f t="shared" si="170"/>
        <v>15</v>
      </c>
      <c r="V238" s="207" t="s">
        <v>257</v>
      </c>
      <c r="W238" s="208">
        <f t="shared" si="171"/>
        <v>15</v>
      </c>
      <c r="X238" s="207" t="s">
        <v>20</v>
      </c>
      <c r="Y238" s="208">
        <f t="shared" si="172"/>
        <v>15</v>
      </c>
      <c r="Z238" s="207" t="s">
        <v>257</v>
      </c>
      <c r="AA238" s="208">
        <f t="shared" si="173"/>
        <v>15</v>
      </c>
      <c r="AB238" s="207" t="s">
        <v>257</v>
      </c>
      <c r="AC238" s="208">
        <f t="shared" si="174"/>
        <v>15</v>
      </c>
      <c r="AD238" s="207" t="s">
        <v>117</v>
      </c>
      <c r="AE238" s="208">
        <f t="shared" si="175"/>
        <v>10</v>
      </c>
      <c r="AF238" s="270">
        <f t="shared" si="176"/>
        <v>100</v>
      </c>
      <c r="AG238" s="270" t="str">
        <f t="shared" si="177"/>
        <v>Fuerte</v>
      </c>
      <c r="AH238" s="209" t="s">
        <v>118</v>
      </c>
      <c r="AI238" s="210" t="str">
        <f t="shared" si="178"/>
        <v>Fuerte</v>
      </c>
      <c r="AJ238" s="211" t="str">
        <f>IFERROR(VLOOKUP((CONCATENATE(AG238,AI238)),Listados!$U$3:$V$11,2,FALSE),"")</f>
        <v>Fuerte</v>
      </c>
      <c r="AK238" s="270">
        <f t="shared" si="179"/>
        <v>100</v>
      </c>
      <c r="AL238" s="447"/>
      <c r="AM238" s="449"/>
      <c r="AN238" s="269">
        <f>+IF(AND(Q238="Preventivo",AM235="Fuerte"),2,IF(AND(Q238="Preventivo",AM235="Moderado"),1,0))</f>
        <v>0</v>
      </c>
      <c r="AO238" s="269">
        <f t="shared" si="156"/>
        <v>0</v>
      </c>
      <c r="AP238" s="212">
        <f>+K235-AN238</f>
        <v>3</v>
      </c>
      <c r="AQ238" s="212">
        <f>+M235-AO238</f>
        <v>3</v>
      </c>
      <c r="AR238" s="433"/>
      <c r="AS238" s="433"/>
      <c r="AT238" s="433"/>
      <c r="AU238" s="433"/>
      <c r="AV238" s="199" t="s">
        <v>1070</v>
      </c>
      <c r="AW238" s="199" t="s">
        <v>1071</v>
      </c>
      <c r="AX238" s="256">
        <v>44927</v>
      </c>
      <c r="AY238" s="256">
        <v>45291</v>
      </c>
      <c r="AZ238" s="200" t="s">
        <v>1072</v>
      </c>
      <c r="BA238" s="200" t="s">
        <v>1073</v>
      </c>
      <c r="BB238" s="354"/>
      <c r="BC238" s="282" t="s">
        <v>1686</v>
      </c>
      <c r="BD238" s="430"/>
      <c r="BE238" s="557"/>
      <c r="BF238" s="549"/>
      <c r="BG238" s="549"/>
    </row>
    <row r="239" spans="1:59" ht="42">
      <c r="A239" s="437"/>
      <c r="B239" s="439"/>
      <c r="C239" s="500"/>
      <c r="D239" s="502"/>
      <c r="E239" s="149"/>
      <c r="F239" s="149"/>
      <c r="G239" s="137"/>
      <c r="H239" s="137"/>
      <c r="I239" s="137"/>
      <c r="J239" s="495"/>
      <c r="K239" s="467"/>
      <c r="L239" s="478"/>
      <c r="M239" s="467"/>
      <c r="N239" s="497"/>
      <c r="O239" s="149"/>
      <c r="P239" s="137"/>
      <c r="Q239" s="137"/>
      <c r="R239" s="231"/>
      <c r="S239" s="208" t="str">
        <f t="shared" si="169"/>
        <v/>
      </c>
      <c r="T239" s="231"/>
      <c r="U239" s="208" t="str">
        <f t="shared" si="170"/>
        <v/>
      </c>
      <c r="V239" s="207"/>
      <c r="W239" s="208" t="str">
        <f t="shared" si="171"/>
        <v/>
      </c>
      <c r="X239" s="207"/>
      <c r="Y239" s="208" t="str">
        <f t="shared" si="172"/>
        <v/>
      </c>
      <c r="Z239" s="207"/>
      <c r="AA239" s="208" t="str">
        <f t="shared" si="173"/>
        <v/>
      </c>
      <c r="AB239" s="207"/>
      <c r="AC239" s="208" t="str">
        <f t="shared" si="174"/>
        <v/>
      </c>
      <c r="AD239" s="207"/>
      <c r="AE239" s="208" t="str">
        <f t="shared" si="175"/>
        <v/>
      </c>
      <c r="AF239" s="270" t="str">
        <f t="shared" si="176"/>
        <v/>
      </c>
      <c r="AG239" s="270" t="str">
        <f t="shared" si="177"/>
        <v/>
      </c>
      <c r="AH239" s="209"/>
      <c r="AI239" s="210" t="str">
        <f t="shared" si="178"/>
        <v>Débil</v>
      </c>
      <c r="AJ239" s="211" t="str">
        <f>IFERROR(VLOOKUP((CONCATENATE(AG239,AI239)),Listados!$U$3:$V$11,2,FALSE),"")</f>
        <v/>
      </c>
      <c r="AK239" s="270">
        <f t="shared" si="179"/>
        <v>100</v>
      </c>
      <c r="AL239" s="447"/>
      <c r="AM239" s="449"/>
      <c r="AN239" s="269">
        <f>+IF(AND(Q239="Preventivo",AM235="Fuerte"),2,IF(AND(Q239="Preventivo",AM235="Moderado"),1,0))</f>
        <v>0</v>
      </c>
      <c r="AO239" s="269">
        <f t="shared" si="156"/>
        <v>0</v>
      </c>
      <c r="AP239" s="212">
        <f>+K235-AN239</f>
        <v>3</v>
      </c>
      <c r="AQ239" s="212">
        <f>+M235-AO239</f>
        <v>3</v>
      </c>
      <c r="AR239" s="433"/>
      <c r="AS239" s="433"/>
      <c r="AT239" s="433"/>
      <c r="AU239" s="433"/>
      <c r="AV239" s="200" t="s">
        <v>1074</v>
      </c>
      <c r="AW239" s="200" t="s">
        <v>1071</v>
      </c>
      <c r="AX239" s="256">
        <v>44927</v>
      </c>
      <c r="AY239" s="256">
        <v>45291</v>
      </c>
      <c r="AZ239" s="200" t="s">
        <v>1072</v>
      </c>
      <c r="BA239" s="200" t="s">
        <v>1075</v>
      </c>
      <c r="BB239" s="354"/>
      <c r="BC239" s="282"/>
      <c r="BD239" s="430"/>
      <c r="BE239" s="557"/>
      <c r="BF239" s="549"/>
      <c r="BG239" s="549"/>
    </row>
    <row r="240" spans="1:59" ht="14.5" thickBot="1">
      <c r="A240" s="438"/>
      <c r="B240" s="439"/>
      <c r="C240" s="500"/>
      <c r="D240" s="502"/>
      <c r="E240" s="149"/>
      <c r="F240" s="149"/>
      <c r="G240" s="137"/>
      <c r="H240" s="137"/>
      <c r="I240" s="137"/>
      <c r="J240" s="495"/>
      <c r="K240" s="468"/>
      <c r="L240" s="478"/>
      <c r="M240" s="468"/>
      <c r="N240" s="497"/>
      <c r="O240" s="149"/>
      <c r="P240" s="137"/>
      <c r="Q240" s="137"/>
      <c r="R240" s="231"/>
      <c r="S240" s="208" t="str">
        <f t="shared" si="169"/>
        <v/>
      </c>
      <c r="T240" s="231"/>
      <c r="U240" s="208" t="str">
        <f t="shared" si="170"/>
        <v/>
      </c>
      <c r="V240" s="207"/>
      <c r="W240" s="208" t="str">
        <f t="shared" si="171"/>
        <v/>
      </c>
      <c r="X240" s="207"/>
      <c r="Y240" s="208" t="str">
        <f t="shared" si="172"/>
        <v/>
      </c>
      <c r="Z240" s="207"/>
      <c r="AA240" s="208" t="str">
        <f t="shared" si="173"/>
        <v/>
      </c>
      <c r="AB240" s="207"/>
      <c r="AC240" s="208" t="str">
        <f t="shared" si="174"/>
        <v/>
      </c>
      <c r="AD240" s="207"/>
      <c r="AE240" s="208" t="str">
        <f t="shared" si="175"/>
        <v/>
      </c>
      <c r="AF240" s="270" t="str">
        <f t="shared" si="176"/>
        <v/>
      </c>
      <c r="AG240" s="270" t="str">
        <f t="shared" si="177"/>
        <v/>
      </c>
      <c r="AH240" s="209"/>
      <c r="AI240" s="210" t="str">
        <f t="shared" si="178"/>
        <v>Débil</v>
      </c>
      <c r="AJ240" s="211" t="str">
        <f>IFERROR(VLOOKUP((CONCATENATE(AG240,AI240)),Listados!$U$3:$V$11,2,FALSE),"")</f>
        <v/>
      </c>
      <c r="AK240" s="270">
        <f t="shared" si="179"/>
        <v>100</v>
      </c>
      <c r="AL240" s="448"/>
      <c r="AM240" s="449"/>
      <c r="AN240" s="269">
        <f>+IF(AND(Q240="Preventivo",AM235="Fuerte"),2,IF(AND(Q240="Preventivo",AM235="Moderado"),1,0))</f>
        <v>0</v>
      </c>
      <c r="AO240" s="269">
        <f t="shared" ref="AO240:AO303" si="180">+IF(AND(Q240="Detectivo",$AM$7="Fuerte"),2,IF(AND(Q240="Detectivo",$AM$7="Moderado"),1,IF(AND(Q240="Preventivo",$AM$7="Fuerte"),1,0)))</f>
        <v>0</v>
      </c>
      <c r="AP240" s="212">
        <f>+K235-AN240</f>
        <v>3</v>
      </c>
      <c r="AQ240" s="212">
        <f>+M235-AO240</f>
        <v>3</v>
      </c>
      <c r="AR240" s="434"/>
      <c r="AS240" s="434"/>
      <c r="AT240" s="434"/>
      <c r="AU240" s="434"/>
      <c r="AV240" s="201"/>
      <c r="AW240" s="201"/>
      <c r="AX240" s="201"/>
      <c r="AY240" s="201"/>
      <c r="AZ240" s="201"/>
      <c r="BA240" s="201"/>
      <c r="BB240" s="354"/>
      <c r="BC240" s="282"/>
      <c r="BD240" s="431"/>
      <c r="BE240" s="558"/>
      <c r="BF240" s="550"/>
      <c r="BG240" s="550"/>
    </row>
    <row r="241" spans="1:59" ht="182">
      <c r="A241" s="436">
        <v>41</v>
      </c>
      <c r="B241" s="439" t="s">
        <v>68</v>
      </c>
      <c r="C241" s="500" t="str">
        <f>IFERROR(VLOOKUP(B241,Listados!B$3:C$20,2,FALSE),"")</f>
        <v>Gestión contra la Criminalidad y la Reincidencia</v>
      </c>
      <c r="D241" s="502" t="s">
        <v>1278</v>
      </c>
      <c r="E241" s="149" t="s">
        <v>15</v>
      </c>
      <c r="F241" s="149" t="s">
        <v>177</v>
      </c>
      <c r="G241" s="137" t="s">
        <v>430</v>
      </c>
      <c r="H241" s="137" t="s">
        <v>30</v>
      </c>
      <c r="I241" s="137" t="s">
        <v>431</v>
      </c>
      <c r="J241" s="495" t="s">
        <v>21</v>
      </c>
      <c r="K241" s="466">
        <f>+VLOOKUP(J241,[4]Listados!$K$8:$L$12,2,0)</f>
        <v>1</v>
      </c>
      <c r="L241" s="477" t="s">
        <v>32</v>
      </c>
      <c r="M241" s="466">
        <f>+VLOOKUP(L241,Listados!$K$13:$L$17,2,0)</f>
        <v>2</v>
      </c>
      <c r="N241" s="496" t="str">
        <f>IF(AND(J241&lt;&gt;"",L241&lt;&gt;""),VLOOKUP(J241&amp;L241,Listados!$M$3:$N$27,2,FALSE),"")</f>
        <v>Bajo</v>
      </c>
      <c r="O241" s="245" t="s">
        <v>432</v>
      </c>
      <c r="P241" s="245" t="s">
        <v>430</v>
      </c>
      <c r="Q241" s="137" t="s">
        <v>20</v>
      </c>
      <c r="R241" s="207" t="s">
        <v>116</v>
      </c>
      <c r="S241" s="208">
        <f t="shared" si="169"/>
        <v>15</v>
      </c>
      <c r="T241" s="207" t="s">
        <v>257</v>
      </c>
      <c r="U241" s="208">
        <f t="shared" si="170"/>
        <v>15</v>
      </c>
      <c r="V241" s="207" t="s">
        <v>257</v>
      </c>
      <c r="W241" s="208">
        <f t="shared" si="171"/>
        <v>15</v>
      </c>
      <c r="X241" s="207" t="s">
        <v>20</v>
      </c>
      <c r="Y241" s="208">
        <f t="shared" si="172"/>
        <v>15</v>
      </c>
      <c r="Z241" s="207" t="s">
        <v>257</v>
      </c>
      <c r="AA241" s="208">
        <f t="shared" si="173"/>
        <v>15</v>
      </c>
      <c r="AB241" s="207" t="s">
        <v>257</v>
      </c>
      <c r="AC241" s="208">
        <f t="shared" si="174"/>
        <v>15</v>
      </c>
      <c r="AD241" s="207" t="s">
        <v>117</v>
      </c>
      <c r="AE241" s="208">
        <f t="shared" si="175"/>
        <v>10</v>
      </c>
      <c r="AF241" s="270">
        <f t="shared" si="176"/>
        <v>100</v>
      </c>
      <c r="AG241" s="270" t="str">
        <f t="shared" si="177"/>
        <v>Fuerte</v>
      </c>
      <c r="AH241" s="209" t="s">
        <v>118</v>
      </c>
      <c r="AI241" s="210" t="str">
        <f t="shared" si="178"/>
        <v>Fuerte</v>
      </c>
      <c r="AJ241" s="211" t="str">
        <f>IFERROR(VLOOKUP((CONCATENATE(AG241,AI241)),Listados!$U$3:$V$11,2,FALSE),"")</f>
        <v>Fuerte</v>
      </c>
      <c r="AK241" s="270">
        <f t="shared" si="179"/>
        <v>100</v>
      </c>
      <c r="AL241" s="446">
        <f>AVERAGE(AK241:AK246)</f>
        <v>100</v>
      </c>
      <c r="AM241" s="448" t="str">
        <f>IF(AL241&lt;=50, "Débil", IF(AL241&lt;=99,"Moderado","Fuerte"))</f>
        <v>Fuerte</v>
      </c>
      <c r="AN241" s="269">
        <f>+IF(AND(Q241="Preventivo",AM241="Fuerte"),2,IF(AND(Q241="Preventivo",AM241="Moderado"),1,0))</f>
        <v>2</v>
      </c>
      <c r="AO241" s="269">
        <f t="shared" si="180"/>
        <v>0</v>
      </c>
      <c r="AP241" s="212">
        <f>+K241-AN241</f>
        <v>-1</v>
      </c>
      <c r="AQ241" s="212">
        <f>+M241-AO241</f>
        <v>2</v>
      </c>
      <c r="AR241" s="435" t="str">
        <f>+VLOOKUP(MIN(AP241,AP242,AP243,AP244,AP245,AP246),Listados!$J$18:$K$24,2,TRUE)</f>
        <v>Rara Vez</v>
      </c>
      <c r="AS241" s="435" t="str">
        <f>+VLOOKUP(MIN(AQ241,AQ242,AQ243,AQ244,AQ245,AQ246),Listados!$J$27:$K$32,2,TRUE)</f>
        <v>Menor</v>
      </c>
      <c r="AT241" s="435" t="str">
        <f>IF(AND(AR241&lt;&gt;"",AS241&lt;&gt;""),VLOOKUP(AR241&amp;AS241,Listados!$M$3:$N$27,2,FALSE),"")</f>
        <v>Bajo</v>
      </c>
      <c r="AU241" s="435" t="str">
        <f>+VLOOKUP(AT241,Listados!$P$3:$Q$6,2,FALSE)</f>
        <v>Asumir el riesgo</v>
      </c>
      <c r="AV241" s="585" t="s">
        <v>1091</v>
      </c>
      <c r="AW241" s="585" t="s">
        <v>1061</v>
      </c>
      <c r="AX241" s="585" t="s">
        <v>1092</v>
      </c>
      <c r="AY241" s="585" t="s">
        <v>1092</v>
      </c>
      <c r="AZ241" s="585" t="s">
        <v>1093</v>
      </c>
      <c r="BA241" s="585" t="s">
        <v>1094</v>
      </c>
      <c r="BB241" s="589" t="s">
        <v>1466</v>
      </c>
      <c r="BC241" s="585" t="s">
        <v>1603</v>
      </c>
      <c r="BD241" s="585"/>
      <c r="BE241" s="556" t="s">
        <v>1534</v>
      </c>
      <c r="BF241" s="585" t="s">
        <v>1782</v>
      </c>
      <c r="BG241" s="585"/>
    </row>
    <row r="242" spans="1:59" ht="182">
      <c r="A242" s="437"/>
      <c r="B242" s="439"/>
      <c r="C242" s="500"/>
      <c r="D242" s="502"/>
      <c r="E242" s="149"/>
      <c r="F242" s="149"/>
      <c r="G242" s="137" t="s">
        <v>433</v>
      </c>
      <c r="H242" s="137" t="s">
        <v>16</v>
      </c>
      <c r="I242" s="137" t="s">
        <v>434</v>
      </c>
      <c r="J242" s="495"/>
      <c r="K242" s="467"/>
      <c r="L242" s="478"/>
      <c r="M242" s="467"/>
      <c r="N242" s="497"/>
      <c r="O242" s="245" t="s">
        <v>432</v>
      </c>
      <c r="P242" s="245" t="s">
        <v>433</v>
      </c>
      <c r="Q242" s="137" t="s">
        <v>20</v>
      </c>
      <c r="R242" s="207" t="s">
        <v>116</v>
      </c>
      <c r="S242" s="208">
        <f t="shared" si="169"/>
        <v>15</v>
      </c>
      <c r="T242" s="207" t="s">
        <v>257</v>
      </c>
      <c r="U242" s="208">
        <f t="shared" si="170"/>
        <v>15</v>
      </c>
      <c r="V242" s="207" t="s">
        <v>257</v>
      </c>
      <c r="W242" s="208">
        <f t="shared" si="171"/>
        <v>15</v>
      </c>
      <c r="X242" s="207" t="s">
        <v>20</v>
      </c>
      <c r="Y242" s="208">
        <f t="shared" si="172"/>
        <v>15</v>
      </c>
      <c r="Z242" s="207" t="s">
        <v>257</v>
      </c>
      <c r="AA242" s="208">
        <f t="shared" si="173"/>
        <v>15</v>
      </c>
      <c r="AB242" s="207" t="s">
        <v>257</v>
      </c>
      <c r="AC242" s="208">
        <f t="shared" si="174"/>
        <v>15</v>
      </c>
      <c r="AD242" s="207" t="s">
        <v>117</v>
      </c>
      <c r="AE242" s="208">
        <f t="shared" si="175"/>
        <v>10</v>
      </c>
      <c r="AF242" s="270">
        <f t="shared" si="176"/>
        <v>100</v>
      </c>
      <c r="AG242" s="270" t="str">
        <f t="shared" si="177"/>
        <v>Fuerte</v>
      </c>
      <c r="AH242" s="209" t="s">
        <v>118</v>
      </c>
      <c r="AI242" s="210" t="str">
        <f t="shared" si="178"/>
        <v>Fuerte</v>
      </c>
      <c r="AJ242" s="211" t="str">
        <f>IFERROR(VLOOKUP((CONCATENATE(AG242,AI242)),Listados!$U$3:$V$11,2,FALSE),"")</f>
        <v>Fuerte</v>
      </c>
      <c r="AK242" s="270">
        <f t="shared" si="179"/>
        <v>100</v>
      </c>
      <c r="AL242" s="447"/>
      <c r="AM242" s="449"/>
      <c r="AN242" s="269">
        <f>+IF(AND(Q242="Preventivo",AM241="Fuerte"),2,IF(AND(Q242="Preventivo",AM241="Moderado"),1,0))</f>
        <v>2</v>
      </c>
      <c r="AO242" s="269">
        <f t="shared" si="180"/>
        <v>0</v>
      </c>
      <c r="AP242" s="212">
        <f>+K241-AN242</f>
        <v>-1</v>
      </c>
      <c r="AQ242" s="212">
        <f>+M241-AO242</f>
        <v>2</v>
      </c>
      <c r="AR242" s="433"/>
      <c r="AS242" s="433"/>
      <c r="AT242" s="433"/>
      <c r="AU242" s="433"/>
      <c r="AV242" s="562"/>
      <c r="AW242" s="562"/>
      <c r="AX242" s="562"/>
      <c r="AY242" s="562"/>
      <c r="AZ242" s="562"/>
      <c r="BA242" s="562"/>
      <c r="BB242" s="590"/>
      <c r="BC242" s="562"/>
      <c r="BD242" s="562"/>
      <c r="BE242" s="557"/>
      <c r="BF242" s="562"/>
      <c r="BG242" s="562"/>
    </row>
    <row r="243" spans="1:59" ht="112">
      <c r="A243" s="437"/>
      <c r="B243" s="439"/>
      <c r="C243" s="500"/>
      <c r="D243" s="502"/>
      <c r="E243" s="149"/>
      <c r="F243" s="149"/>
      <c r="G243" s="137" t="s">
        <v>435</v>
      </c>
      <c r="H243" s="137" t="s">
        <v>16</v>
      </c>
      <c r="I243" s="137"/>
      <c r="J243" s="495"/>
      <c r="K243" s="467"/>
      <c r="L243" s="478"/>
      <c r="M243" s="467"/>
      <c r="N243" s="497"/>
      <c r="O243" s="245" t="s">
        <v>436</v>
      </c>
      <c r="P243" s="245" t="s">
        <v>435</v>
      </c>
      <c r="Q243" s="137" t="s">
        <v>123</v>
      </c>
      <c r="R243" s="207" t="s">
        <v>116</v>
      </c>
      <c r="S243" s="208">
        <f t="shared" si="169"/>
        <v>15</v>
      </c>
      <c r="T243" s="207" t="s">
        <v>257</v>
      </c>
      <c r="U243" s="208">
        <f t="shared" si="170"/>
        <v>15</v>
      </c>
      <c r="V243" s="207" t="s">
        <v>257</v>
      </c>
      <c r="W243" s="208">
        <f t="shared" si="171"/>
        <v>15</v>
      </c>
      <c r="X243" s="207" t="s">
        <v>20</v>
      </c>
      <c r="Y243" s="208">
        <f t="shared" si="172"/>
        <v>15</v>
      </c>
      <c r="Z243" s="207" t="s">
        <v>257</v>
      </c>
      <c r="AA243" s="208">
        <f t="shared" si="173"/>
        <v>15</v>
      </c>
      <c r="AB243" s="207" t="s">
        <v>257</v>
      </c>
      <c r="AC243" s="208">
        <f t="shared" si="174"/>
        <v>15</v>
      </c>
      <c r="AD243" s="207" t="s">
        <v>117</v>
      </c>
      <c r="AE243" s="208">
        <f t="shared" si="175"/>
        <v>10</v>
      </c>
      <c r="AF243" s="270">
        <f t="shared" si="176"/>
        <v>100</v>
      </c>
      <c r="AG243" s="270" t="str">
        <f t="shared" si="177"/>
        <v>Fuerte</v>
      </c>
      <c r="AH243" s="209" t="s">
        <v>118</v>
      </c>
      <c r="AI243" s="210" t="str">
        <f t="shared" si="178"/>
        <v>Fuerte</v>
      </c>
      <c r="AJ243" s="211" t="str">
        <f>IFERROR(VLOOKUP((CONCATENATE(AG243,AI243)),Listados!$U$3:$V$11,2,FALSE),"")</f>
        <v>Fuerte</v>
      </c>
      <c r="AK243" s="270">
        <f t="shared" si="179"/>
        <v>100</v>
      </c>
      <c r="AL243" s="447"/>
      <c r="AM243" s="449"/>
      <c r="AN243" s="269">
        <f>+IF(AND(Q243="Preventivo",AM241="Fuerte"),2,IF(AND(Q243="Preventivo",AM241="Moderado"),1,0))</f>
        <v>0</v>
      </c>
      <c r="AO243" s="269">
        <f t="shared" si="180"/>
        <v>0</v>
      </c>
      <c r="AP243" s="212">
        <f>+K241-AN243</f>
        <v>1</v>
      </c>
      <c r="AQ243" s="212">
        <f>+M241-AO243</f>
        <v>2</v>
      </c>
      <c r="AR243" s="433"/>
      <c r="AS243" s="433"/>
      <c r="AT243" s="433"/>
      <c r="AU243" s="433"/>
      <c r="AV243" s="562"/>
      <c r="AW243" s="562"/>
      <c r="AX243" s="562"/>
      <c r="AY243" s="562"/>
      <c r="AZ243" s="562"/>
      <c r="BA243" s="562"/>
      <c r="BB243" s="590"/>
      <c r="BC243" s="562"/>
      <c r="BD243" s="562"/>
      <c r="BE243" s="557"/>
      <c r="BF243" s="562"/>
      <c r="BG243" s="562"/>
    </row>
    <row r="244" spans="1:59" ht="14.15" customHeight="1">
      <c r="A244" s="437"/>
      <c r="B244" s="439"/>
      <c r="C244" s="500"/>
      <c r="D244" s="502"/>
      <c r="E244" s="149"/>
      <c r="F244" s="149"/>
      <c r="G244" s="137"/>
      <c r="H244" s="137"/>
      <c r="I244" s="137"/>
      <c r="J244" s="495"/>
      <c r="K244" s="467"/>
      <c r="L244" s="478"/>
      <c r="M244" s="467"/>
      <c r="N244" s="497"/>
      <c r="O244" s="149"/>
      <c r="P244" s="137"/>
      <c r="Q244" s="137"/>
      <c r="R244" s="231"/>
      <c r="S244" s="208" t="str">
        <f t="shared" si="169"/>
        <v/>
      </c>
      <c r="T244" s="231"/>
      <c r="U244" s="208" t="str">
        <f t="shared" si="170"/>
        <v/>
      </c>
      <c r="V244" s="207"/>
      <c r="W244" s="208" t="str">
        <f t="shared" si="171"/>
        <v/>
      </c>
      <c r="X244" s="207"/>
      <c r="Y244" s="208" t="str">
        <f t="shared" si="172"/>
        <v/>
      </c>
      <c r="Z244" s="207"/>
      <c r="AA244" s="208" t="str">
        <f t="shared" si="173"/>
        <v/>
      </c>
      <c r="AB244" s="207"/>
      <c r="AC244" s="208" t="str">
        <f t="shared" si="174"/>
        <v/>
      </c>
      <c r="AD244" s="207"/>
      <c r="AE244" s="208" t="str">
        <f t="shared" si="175"/>
        <v/>
      </c>
      <c r="AF244" s="270" t="str">
        <f t="shared" si="176"/>
        <v/>
      </c>
      <c r="AG244" s="270" t="str">
        <f t="shared" si="177"/>
        <v/>
      </c>
      <c r="AH244" s="209"/>
      <c r="AI244" s="210" t="str">
        <f t="shared" si="178"/>
        <v>Débil</v>
      </c>
      <c r="AJ244" s="211" t="str">
        <f>IFERROR(VLOOKUP((CONCATENATE(AG244,AI244)),Listados!$U$3:$V$11,2,FALSE),"")</f>
        <v/>
      </c>
      <c r="AK244" s="270">
        <f t="shared" si="179"/>
        <v>100</v>
      </c>
      <c r="AL244" s="447"/>
      <c r="AM244" s="449"/>
      <c r="AN244" s="269">
        <f>+IF(AND(Q244="Preventivo",AM241="Fuerte"),2,IF(AND(Q244="Preventivo",AM241="Moderado"),1,0))</f>
        <v>0</v>
      </c>
      <c r="AO244" s="269">
        <f t="shared" si="180"/>
        <v>0</v>
      </c>
      <c r="AP244" s="212">
        <f>+K241-AN244</f>
        <v>1</v>
      </c>
      <c r="AQ244" s="212">
        <f>+M241-AO244</f>
        <v>2</v>
      </c>
      <c r="AR244" s="433"/>
      <c r="AS244" s="433"/>
      <c r="AT244" s="433"/>
      <c r="AU244" s="433"/>
      <c r="AV244" s="562"/>
      <c r="AW244" s="562"/>
      <c r="AX244" s="562"/>
      <c r="AY244" s="562"/>
      <c r="AZ244" s="562"/>
      <c r="BA244" s="562"/>
      <c r="BB244" s="590"/>
      <c r="BC244" s="562"/>
      <c r="BD244" s="562"/>
      <c r="BE244" s="557"/>
      <c r="BF244" s="562"/>
      <c r="BG244" s="562"/>
    </row>
    <row r="245" spans="1:59" ht="14.15" customHeight="1">
      <c r="A245" s="437"/>
      <c r="B245" s="439"/>
      <c r="C245" s="500"/>
      <c r="D245" s="502"/>
      <c r="E245" s="149"/>
      <c r="F245" s="149"/>
      <c r="G245" s="137"/>
      <c r="H245" s="137"/>
      <c r="I245" s="137"/>
      <c r="J245" s="495"/>
      <c r="K245" s="467"/>
      <c r="L245" s="478"/>
      <c r="M245" s="467"/>
      <c r="N245" s="497"/>
      <c r="O245" s="149"/>
      <c r="P245" s="137"/>
      <c r="Q245" s="137"/>
      <c r="R245" s="231"/>
      <c r="S245" s="208" t="str">
        <f t="shared" si="169"/>
        <v/>
      </c>
      <c r="T245" s="231"/>
      <c r="U245" s="208" t="str">
        <f t="shared" si="170"/>
        <v/>
      </c>
      <c r="V245" s="207"/>
      <c r="W245" s="208" t="str">
        <f t="shared" si="171"/>
        <v/>
      </c>
      <c r="X245" s="207"/>
      <c r="Y245" s="208" t="str">
        <f t="shared" si="172"/>
        <v/>
      </c>
      <c r="Z245" s="207"/>
      <c r="AA245" s="208" t="str">
        <f t="shared" si="173"/>
        <v/>
      </c>
      <c r="AB245" s="207"/>
      <c r="AC245" s="208" t="str">
        <f t="shared" si="174"/>
        <v/>
      </c>
      <c r="AD245" s="207"/>
      <c r="AE245" s="208" t="str">
        <f t="shared" si="175"/>
        <v/>
      </c>
      <c r="AF245" s="270" t="str">
        <f t="shared" si="176"/>
        <v/>
      </c>
      <c r="AG245" s="270" t="str">
        <f t="shared" si="177"/>
        <v/>
      </c>
      <c r="AH245" s="209"/>
      <c r="AI245" s="210" t="str">
        <f t="shared" si="178"/>
        <v>Débil</v>
      </c>
      <c r="AJ245" s="211" t="str">
        <f>IFERROR(VLOOKUP((CONCATENATE(AG245,AI245)),Listados!$U$3:$V$11,2,FALSE),"")</f>
        <v/>
      </c>
      <c r="AK245" s="270">
        <f t="shared" si="179"/>
        <v>100</v>
      </c>
      <c r="AL245" s="447"/>
      <c r="AM245" s="449"/>
      <c r="AN245" s="269">
        <f>+IF(AND(Q245="Preventivo",AM241="Fuerte"),2,IF(AND(Q245="Preventivo",AM241="Moderado"),1,0))</f>
        <v>0</v>
      </c>
      <c r="AO245" s="269">
        <f t="shared" si="180"/>
        <v>0</v>
      </c>
      <c r="AP245" s="212">
        <f>+K241-AN245</f>
        <v>1</v>
      </c>
      <c r="AQ245" s="212">
        <f>+M241-AO245</f>
        <v>2</v>
      </c>
      <c r="AR245" s="433"/>
      <c r="AS245" s="433"/>
      <c r="AT245" s="433"/>
      <c r="AU245" s="433"/>
      <c r="AV245" s="562"/>
      <c r="AW245" s="562"/>
      <c r="AX245" s="562"/>
      <c r="AY245" s="562"/>
      <c r="AZ245" s="562"/>
      <c r="BA245" s="562"/>
      <c r="BB245" s="590"/>
      <c r="BC245" s="562"/>
      <c r="BD245" s="562"/>
      <c r="BE245" s="557"/>
      <c r="BF245" s="562"/>
      <c r="BG245" s="562"/>
    </row>
    <row r="246" spans="1:59" ht="14.5" customHeight="1" thickBot="1">
      <c r="A246" s="438"/>
      <c r="B246" s="439"/>
      <c r="C246" s="500"/>
      <c r="D246" s="502"/>
      <c r="E246" s="149"/>
      <c r="F246" s="149"/>
      <c r="G246" s="137"/>
      <c r="H246" s="137"/>
      <c r="I246" s="137"/>
      <c r="J246" s="495"/>
      <c r="K246" s="468"/>
      <c r="L246" s="478"/>
      <c r="M246" s="468"/>
      <c r="N246" s="497"/>
      <c r="O246" s="149"/>
      <c r="P246" s="137"/>
      <c r="Q246" s="137"/>
      <c r="R246" s="231"/>
      <c r="S246" s="208" t="str">
        <f t="shared" si="169"/>
        <v/>
      </c>
      <c r="T246" s="231"/>
      <c r="U246" s="208" t="str">
        <f t="shared" si="170"/>
        <v/>
      </c>
      <c r="V246" s="207"/>
      <c r="W246" s="208" t="str">
        <f t="shared" si="171"/>
        <v/>
      </c>
      <c r="X246" s="207"/>
      <c r="Y246" s="208" t="str">
        <f t="shared" si="172"/>
        <v/>
      </c>
      <c r="Z246" s="207"/>
      <c r="AA246" s="208" t="str">
        <f t="shared" si="173"/>
        <v/>
      </c>
      <c r="AB246" s="207"/>
      <c r="AC246" s="208" t="str">
        <f t="shared" si="174"/>
        <v/>
      </c>
      <c r="AD246" s="207"/>
      <c r="AE246" s="208" t="str">
        <f t="shared" si="175"/>
        <v/>
      </c>
      <c r="AF246" s="270" t="str">
        <f t="shared" si="176"/>
        <v/>
      </c>
      <c r="AG246" s="270" t="str">
        <f t="shared" si="177"/>
        <v/>
      </c>
      <c r="AH246" s="209"/>
      <c r="AI246" s="210" t="str">
        <f t="shared" si="178"/>
        <v>Débil</v>
      </c>
      <c r="AJ246" s="211" t="str">
        <f>IFERROR(VLOOKUP((CONCATENATE(AG246,AI246)),Listados!$U$3:$V$11,2,FALSE),"")</f>
        <v/>
      </c>
      <c r="AK246" s="270">
        <f t="shared" si="179"/>
        <v>100</v>
      </c>
      <c r="AL246" s="448"/>
      <c r="AM246" s="449"/>
      <c r="AN246" s="269">
        <f>+IF(AND(Q246="Preventivo",AM241="Fuerte"),2,IF(AND(Q246="Preventivo",AM241="Moderado"),1,0))</f>
        <v>0</v>
      </c>
      <c r="AO246" s="269">
        <f t="shared" si="180"/>
        <v>0</v>
      </c>
      <c r="AP246" s="212">
        <f>+K241-AN246</f>
        <v>1</v>
      </c>
      <c r="AQ246" s="212">
        <f>+M241-AO246</f>
        <v>2</v>
      </c>
      <c r="AR246" s="434"/>
      <c r="AS246" s="434"/>
      <c r="AT246" s="434"/>
      <c r="AU246" s="434"/>
      <c r="AV246" s="563"/>
      <c r="AW246" s="563"/>
      <c r="AX246" s="563"/>
      <c r="AY246" s="563"/>
      <c r="AZ246" s="563"/>
      <c r="BA246" s="563"/>
      <c r="BB246" s="591"/>
      <c r="BC246" s="563"/>
      <c r="BD246" s="563"/>
      <c r="BE246" s="558"/>
      <c r="BF246" s="563"/>
      <c r="BG246" s="563"/>
    </row>
    <row r="247" spans="1:59" ht="217.5" customHeight="1">
      <c r="A247" s="436">
        <v>42</v>
      </c>
      <c r="B247" s="439" t="s">
        <v>68</v>
      </c>
      <c r="C247" s="500" t="str">
        <f>IFERROR(VLOOKUP(B247,Listados!B$3:C$20,2,FALSE),"")</f>
        <v>Gestión contra la Criminalidad y la Reincidencia</v>
      </c>
      <c r="D247" s="502" t="s">
        <v>1279</v>
      </c>
      <c r="E247" s="149" t="s">
        <v>15</v>
      </c>
      <c r="F247" s="149" t="s">
        <v>177</v>
      </c>
      <c r="G247" s="137" t="s">
        <v>437</v>
      </c>
      <c r="H247" s="137" t="s">
        <v>30</v>
      </c>
      <c r="I247" s="137" t="s">
        <v>438</v>
      </c>
      <c r="J247" s="495" t="s">
        <v>31</v>
      </c>
      <c r="K247" s="466">
        <f>+VLOOKUP(J247,[4]Listados!$K$8:$L$12,2,0)</f>
        <v>2</v>
      </c>
      <c r="L247" s="477" t="s">
        <v>32</v>
      </c>
      <c r="M247" s="466">
        <f>+VLOOKUP(L247,Listados!$K$13:$L$17,2,0)</f>
        <v>2</v>
      </c>
      <c r="N247" s="496" t="str">
        <f>IF(AND(J247&lt;&gt;"",L247&lt;&gt;""),VLOOKUP(J247&amp;L247,Listados!$M$3:$N$27,2,FALSE),"")</f>
        <v>Bajo</v>
      </c>
      <c r="O247" s="245" t="s">
        <v>1467</v>
      </c>
      <c r="P247" s="245" t="s">
        <v>437</v>
      </c>
      <c r="Q247" s="137" t="s">
        <v>20</v>
      </c>
      <c r="R247" s="207" t="s">
        <v>116</v>
      </c>
      <c r="S247" s="208">
        <f t="shared" si="169"/>
        <v>15</v>
      </c>
      <c r="T247" s="207" t="s">
        <v>257</v>
      </c>
      <c r="U247" s="208">
        <f t="shared" si="170"/>
        <v>15</v>
      </c>
      <c r="V247" s="207" t="s">
        <v>257</v>
      </c>
      <c r="W247" s="208">
        <f t="shared" si="171"/>
        <v>15</v>
      </c>
      <c r="X247" s="207" t="s">
        <v>20</v>
      </c>
      <c r="Y247" s="208">
        <f t="shared" si="172"/>
        <v>15</v>
      </c>
      <c r="Z247" s="207" t="s">
        <v>257</v>
      </c>
      <c r="AA247" s="208">
        <f t="shared" si="173"/>
        <v>15</v>
      </c>
      <c r="AB247" s="207" t="s">
        <v>257</v>
      </c>
      <c r="AC247" s="208">
        <f t="shared" si="174"/>
        <v>15</v>
      </c>
      <c r="AD247" s="207" t="s">
        <v>117</v>
      </c>
      <c r="AE247" s="208">
        <f t="shared" si="175"/>
        <v>10</v>
      </c>
      <c r="AF247" s="270">
        <f t="shared" si="176"/>
        <v>100</v>
      </c>
      <c r="AG247" s="270" t="str">
        <f t="shared" si="177"/>
        <v>Fuerte</v>
      </c>
      <c r="AH247" s="209" t="s">
        <v>118</v>
      </c>
      <c r="AI247" s="210" t="str">
        <f t="shared" si="178"/>
        <v>Fuerte</v>
      </c>
      <c r="AJ247" s="211" t="str">
        <f>IFERROR(VLOOKUP((CONCATENATE(AG247,AI247)),Listados!$U$3:$V$11,2,FALSE),"")</f>
        <v>Fuerte</v>
      </c>
      <c r="AK247" s="270">
        <f t="shared" si="179"/>
        <v>100</v>
      </c>
      <c r="AL247" s="446">
        <f>AVERAGE(AK247:AK252)</f>
        <v>100</v>
      </c>
      <c r="AM247" s="448" t="str">
        <f>IF(AL247&lt;=50, "Débil", IF(AL247&lt;=99,"Moderado","Fuerte"))</f>
        <v>Fuerte</v>
      </c>
      <c r="AN247" s="269">
        <f>+IF(AND(Q247="Preventivo",AM247="Fuerte"),2,IF(AND(Q247="Preventivo",AM247="Moderado"),1,0))</f>
        <v>2</v>
      </c>
      <c r="AO247" s="269">
        <f t="shared" si="180"/>
        <v>0</v>
      </c>
      <c r="AP247" s="212">
        <f>+K247-AN247</f>
        <v>0</v>
      </c>
      <c r="AQ247" s="212">
        <f>+M247-AO247</f>
        <v>2</v>
      </c>
      <c r="AR247" s="435" t="str">
        <f>+VLOOKUP(MIN(AP247,AP248,AP249,AP250,AP251,AP252),Listados!$J$18:$K$24,2,TRUE)</f>
        <v>Rara Vez</v>
      </c>
      <c r="AS247" s="435" t="str">
        <f>+VLOOKUP(MIN(AQ247,AQ248,AQ249,AQ250,AQ251,AQ252),Listados!$J$27:$K$32,2,TRUE)</f>
        <v>Menor</v>
      </c>
      <c r="AT247" s="435" t="str">
        <f>IF(AND(AR247&lt;&gt;"",AS247&lt;&gt;""),VLOOKUP(AR247&amp;AS247,Listados!$M$3:$N$27,2,FALSE),"")</f>
        <v>Bajo</v>
      </c>
      <c r="AU247" s="435" t="str">
        <f>+VLOOKUP(AT247,Listados!$P$3:$Q$6,2,FALSE)</f>
        <v>Asumir el riesgo</v>
      </c>
      <c r="AV247" s="585" t="s">
        <v>1095</v>
      </c>
      <c r="AW247" s="585" t="s">
        <v>1061</v>
      </c>
      <c r="AX247" s="585" t="s">
        <v>1046</v>
      </c>
      <c r="AY247" s="585"/>
      <c r="AZ247" s="585" t="s">
        <v>1096</v>
      </c>
      <c r="BA247" s="585" t="s">
        <v>1097</v>
      </c>
      <c r="BB247" s="589" t="s">
        <v>1468</v>
      </c>
      <c r="BC247" s="585" t="s">
        <v>1468</v>
      </c>
      <c r="BD247" s="585"/>
      <c r="BE247" s="592" t="s">
        <v>1535</v>
      </c>
      <c r="BF247" s="585" t="s">
        <v>1783</v>
      </c>
      <c r="BG247" s="585"/>
    </row>
    <row r="248" spans="1:59" ht="126">
      <c r="A248" s="437"/>
      <c r="B248" s="439"/>
      <c r="C248" s="500"/>
      <c r="D248" s="502"/>
      <c r="E248" s="149"/>
      <c r="F248" s="149"/>
      <c r="G248" s="137" t="s">
        <v>439</v>
      </c>
      <c r="H248" s="137" t="s">
        <v>16</v>
      </c>
      <c r="I248" s="137" t="s">
        <v>440</v>
      </c>
      <c r="J248" s="495"/>
      <c r="K248" s="467"/>
      <c r="L248" s="478"/>
      <c r="M248" s="467"/>
      <c r="N248" s="497"/>
      <c r="O248" s="245" t="s">
        <v>1467</v>
      </c>
      <c r="P248" s="245" t="s">
        <v>439</v>
      </c>
      <c r="Q248" s="137" t="s">
        <v>20</v>
      </c>
      <c r="R248" s="207" t="s">
        <v>116</v>
      </c>
      <c r="S248" s="208">
        <f t="shared" si="169"/>
        <v>15</v>
      </c>
      <c r="T248" s="207" t="s">
        <v>257</v>
      </c>
      <c r="U248" s="208">
        <f t="shared" si="170"/>
        <v>15</v>
      </c>
      <c r="V248" s="207" t="s">
        <v>257</v>
      </c>
      <c r="W248" s="208">
        <f t="shared" si="171"/>
        <v>15</v>
      </c>
      <c r="X248" s="207" t="s">
        <v>20</v>
      </c>
      <c r="Y248" s="208">
        <f t="shared" si="172"/>
        <v>15</v>
      </c>
      <c r="Z248" s="207" t="s">
        <v>257</v>
      </c>
      <c r="AA248" s="208">
        <f t="shared" si="173"/>
        <v>15</v>
      </c>
      <c r="AB248" s="207" t="s">
        <v>257</v>
      </c>
      <c r="AC248" s="208">
        <f t="shared" si="174"/>
        <v>15</v>
      </c>
      <c r="AD248" s="207" t="s">
        <v>117</v>
      </c>
      <c r="AE248" s="208">
        <f t="shared" si="175"/>
        <v>10</v>
      </c>
      <c r="AF248" s="270">
        <f t="shared" si="176"/>
        <v>100</v>
      </c>
      <c r="AG248" s="270" t="str">
        <f t="shared" si="177"/>
        <v>Fuerte</v>
      </c>
      <c r="AH248" s="209" t="s">
        <v>118</v>
      </c>
      <c r="AI248" s="210" t="str">
        <f t="shared" si="178"/>
        <v>Fuerte</v>
      </c>
      <c r="AJ248" s="211" t="str">
        <f>IFERROR(VLOOKUP((CONCATENATE(AG248,AI248)),Listados!$U$3:$V$11,2,FALSE),"")</f>
        <v>Fuerte</v>
      </c>
      <c r="AK248" s="270">
        <f t="shared" si="179"/>
        <v>100</v>
      </c>
      <c r="AL248" s="447"/>
      <c r="AM248" s="449"/>
      <c r="AN248" s="269">
        <f>+IF(AND(Q248="Preventivo",AM247="Fuerte"),2,IF(AND(Q248="Preventivo",AM247="Moderado"),1,0))</f>
        <v>2</v>
      </c>
      <c r="AO248" s="269">
        <f t="shared" si="180"/>
        <v>0</v>
      </c>
      <c r="AP248" s="212">
        <f>+K247-AN248</f>
        <v>0</v>
      </c>
      <c r="AQ248" s="212">
        <f>+M247-AO248</f>
        <v>2</v>
      </c>
      <c r="AR248" s="433"/>
      <c r="AS248" s="433"/>
      <c r="AT248" s="433"/>
      <c r="AU248" s="433"/>
      <c r="AV248" s="562"/>
      <c r="AW248" s="562"/>
      <c r="AX248" s="562"/>
      <c r="AY248" s="562"/>
      <c r="AZ248" s="562"/>
      <c r="BA248" s="562"/>
      <c r="BB248" s="590"/>
      <c r="BC248" s="562"/>
      <c r="BD248" s="562"/>
      <c r="BE248" s="562"/>
      <c r="BF248" s="562"/>
      <c r="BG248" s="562"/>
    </row>
    <row r="249" spans="1:59" ht="14.15" customHeight="1">
      <c r="A249" s="437"/>
      <c r="B249" s="439"/>
      <c r="C249" s="500"/>
      <c r="D249" s="502"/>
      <c r="E249" s="149"/>
      <c r="F249" s="149"/>
      <c r="G249" s="137"/>
      <c r="H249" s="137"/>
      <c r="I249" s="137" t="s">
        <v>331</v>
      </c>
      <c r="J249" s="495"/>
      <c r="K249" s="467"/>
      <c r="L249" s="478"/>
      <c r="M249" s="467"/>
      <c r="N249" s="497"/>
      <c r="O249" s="149"/>
      <c r="P249" s="137"/>
      <c r="Q249" s="137"/>
      <c r="R249" s="231"/>
      <c r="S249" s="208" t="str">
        <f t="shared" si="169"/>
        <v/>
      </c>
      <c r="T249" s="231"/>
      <c r="U249" s="208" t="str">
        <f t="shared" si="170"/>
        <v/>
      </c>
      <c r="V249" s="207"/>
      <c r="W249" s="208" t="str">
        <f t="shared" si="171"/>
        <v/>
      </c>
      <c r="X249" s="207"/>
      <c r="Y249" s="208" t="str">
        <f t="shared" si="172"/>
        <v/>
      </c>
      <c r="Z249" s="207"/>
      <c r="AA249" s="208" t="str">
        <f t="shared" si="173"/>
        <v/>
      </c>
      <c r="AB249" s="207"/>
      <c r="AC249" s="208" t="str">
        <f t="shared" si="174"/>
        <v/>
      </c>
      <c r="AD249" s="207"/>
      <c r="AE249" s="208" t="str">
        <f t="shared" si="175"/>
        <v/>
      </c>
      <c r="AF249" s="270" t="str">
        <f t="shared" si="176"/>
        <v/>
      </c>
      <c r="AG249" s="270" t="str">
        <f t="shared" si="177"/>
        <v/>
      </c>
      <c r="AH249" s="209"/>
      <c r="AI249" s="210" t="str">
        <f t="shared" si="178"/>
        <v>Débil</v>
      </c>
      <c r="AJ249" s="211" t="str">
        <f>IFERROR(VLOOKUP((CONCATENATE(AG249,AI249)),Listados!$U$3:$V$11,2,FALSE),"")</f>
        <v/>
      </c>
      <c r="AK249" s="270">
        <f t="shared" si="179"/>
        <v>100</v>
      </c>
      <c r="AL249" s="447"/>
      <c r="AM249" s="449"/>
      <c r="AN249" s="269">
        <f>+IF(AND(Q249="Preventivo",AM247="Fuerte"),2,IF(AND(Q249="Preventivo",AM247="Moderado"),1,0))</f>
        <v>0</v>
      </c>
      <c r="AO249" s="269">
        <f t="shared" si="180"/>
        <v>0</v>
      </c>
      <c r="AP249" s="212">
        <f>+K247-AN249</f>
        <v>2</v>
      </c>
      <c r="AQ249" s="212">
        <f>+M247-AO249</f>
        <v>2</v>
      </c>
      <c r="AR249" s="433"/>
      <c r="AS249" s="433"/>
      <c r="AT249" s="433"/>
      <c r="AU249" s="433"/>
      <c r="AV249" s="562"/>
      <c r="AW249" s="562"/>
      <c r="AX249" s="562"/>
      <c r="AY249" s="562"/>
      <c r="AZ249" s="562"/>
      <c r="BA249" s="562"/>
      <c r="BB249" s="590"/>
      <c r="BC249" s="562"/>
      <c r="BD249" s="562"/>
      <c r="BE249" s="562"/>
      <c r="BF249" s="562"/>
      <c r="BG249" s="562"/>
    </row>
    <row r="250" spans="1:59" ht="28">
      <c r="A250" s="437"/>
      <c r="B250" s="439"/>
      <c r="C250" s="500"/>
      <c r="D250" s="502"/>
      <c r="E250" s="149"/>
      <c r="F250" s="149"/>
      <c r="G250" s="137"/>
      <c r="H250" s="137"/>
      <c r="I250" s="137" t="s">
        <v>441</v>
      </c>
      <c r="J250" s="495"/>
      <c r="K250" s="467"/>
      <c r="L250" s="478"/>
      <c r="M250" s="467"/>
      <c r="N250" s="497"/>
      <c r="O250" s="149"/>
      <c r="P250" s="137"/>
      <c r="Q250" s="137"/>
      <c r="R250" s="231"/>
      <c r="S250" s="208" t="str">
        <f t="shared" si="169"/>
        <v/>
      </c>
      <c r="T250" s="231"/>
      <c r="U250" s="208" t="str">
        <f t="shared" si="170"/>
        <v/>
      </c>
      <c r="V250" s="207"/>
      <c r="W250" s="208" t="str">
        <f t="shared" si="171"/>
        <v/>
      </c>
      <c r="X250" s="207"/>
      <c r="Y250" s="208" t="str">
        <f t="shared" si="172"/>
        <v/>
      </c>
      <c r="Z250" s="207"/>
      <c r="AA250" s="208" t="str">
        <f t="shared" si="173"/>
        <v/>
      </c>
      <c r="AB250" s="207"/>
      <c r="AC250" s="208" t="str">
        <f t="shared" si="174"/>
        <v/>
      </c>
      <c r="AD250" s="207"/>
      <c r="AE250" s="208" t="str">
        <f t="shared" si="175"/>
        <v/>
      </c>
      <c r="AF250" s="270" t="str">
        <f t="shared" si="176"/>
        <v/>
      </c>
      <c r="AG250" s="270" t="str">
        <f t="shared" si="177"/>
        <v/>
      </c>
      <c r="AH250" s="209"/>
      <c r="AI250" s="210" t="str">
        <f t="shared" si="178"/>
        <v>Débil</v>
      </c>
      <c r="AJ250" s="211" t="str">
        <f>IFERROR(VLOOKUP((CONCATENATE(AG250,AI250)),Listados!$U$3:$V$11,2,FALSE),"")</f>
        <v/>
      </c>
      <c r="AK250" s="270">
        <f t="shared" si="179"/>
        <v>100</v>
      </c>
      <c r="AL250" s="447"/>
      <c r="AM250" s="449"/>
      <c r="AN250" s="269">
        <f>+IF(AND(Q250="Preventivo",AM247="Fuerte"),2,IF(AND(Q250="Preventivo",AM247="Moderado"),1,0))</f>
        <v>0</v>
      </c>
      <c r="AO250" s="269">
        <f t="shared" si="180"/>
        <v>0</v>
      </c>
      <c r="AP250" s="212">
        <f>+K247-AN250</f>
        <v>2</v>
      </c>
      <c r="AQ250" s="212">
        <f>+M247-AO250</f>
        <v>2</v>
      </c>
      <c r="AR250" s="433"/>
      <c r="AS250" s="433"/>
      <c r="AT250" s="433"/>
      <c r="AU250" s="433"/>
      <c r="AV250" s="562"/>
      <c r="AW250" s="562"/>
      <c r="AX250" s="562"/>
      <c r="AY250" s="562"/>
      <c r="AZ250" s="562"/>
      <c r="BA250" s="562"/>
      <c r="BB250" s="590"/>
      <c r="BC250" s="562"/>
      <c r="BD250" s="562"/>
      <c r="BE250" s="562"/>
      <c r="BF250" s="562"/>
      <c r="BG250" s="562"/>
    </row>
    <row r="251" spans="1:59" ht="14.15" customHeight="1">
      <c r="A251" s="437"/>
      <c r="B251" s="439"/>
      <c r="C251" s="500"/>
      <c r="D251" s="502"/>
      <c r="E251" s="149"/>
      <c r="F251" s="149"/>
      <c r="G251" s="137"/>
      <c r="H251" s="137"/>
      <c r="I251" s="137"/>
      <c r="J251" s="495"/>
      <c r="K251" s="467"/>
      <c r="L251" s="478"/>
      <c r="M251" s="467"/>
      <c r="N251" s="497"/>
      <c r="O251" s="149"/>
      <c r="P251" s="137"/>
      <c r="Q251" s="137"/>
      <c r="R251" s="231"/>
      <c r="S251" s="208" t="str">
        <f t="shared" si="169"/>
        <v/>
      </c>
      <c r="T251" s="231"/>
      <c r="U251" s="208" t="str">
        <f t="shared" si="170"/>
        <v/>
      </c>
      <c r="V251" s="207"/>
      <c r="W251" s="208" t="str">
        <f t="shared" si="171"/>
        <v/>
      </c>
      <c r="X251" s="207"/>
      <c r="Y251" s="208" t="str">
        <f t="shared" si="172"/>
        <v/>
      </c>
      <c r="Z251" s="207"/>
      <c r="AA251" s="208" t="str">
        <f t="shared" si="173"/>
        <v/>
      </c>
      <c r="AB251" s="207"/>
      <c r="AC251" s="208" t="str">
        <f t="shared" si="174"/>
        <v/>
      </c>
      <c r="AD251" s="207"/>
      <c r="AE251" s="208" t="str">
        <f t="shared" si="175"/>
        <v/>
      </c>
      <c r="AF251" s="270" t="str">
        <f t="shared" si="176"/>
        <v/>
      </c>
      <c r="AG251" s="270" t="str">
        <f t="shared" si="177"/>
        <v/>
      </c>
      <c r="AH251" s="209"/>
      <c r="AI251" s="210" t="str">
        <f t="shared" si="178"/>
        <v>Débil</v>
      </c>
      <c r="AJ251" s="211" t="str">
        <f>IFERROR(VLOOKUP((CONCATENATE(AG251,AI251)),Listados!$U$3:$V$11,2,FALSE),"")</f>
        <v/>
      </c>
      <c r="AK251" s="270">
        <f t="shared" si="179"/>
        <v>100</v>
      </c>
      <c r="AL251" s="447"/>
      <c r="AM251" s="449"/>
      <c r="AN251" s="269">
        <f>+IF(AND(Q251="Preventivo",AM247="Fuerte"),2,IF(AND(Q251="Preventivo",AM247="Moderado"),1,0))</f>
        <v>0</v>
      </c>
      <c r="AO251" s="269">
        <f t="shared" si="180"/>
        <v>0</v>
      </c>
      <c r="AP251" s="212">
        <f>+K247-AN251</f>
        <v>2</v>
      </c>
      <c r="AQ251" s="212">
        <f>+M247-AO251</f>
        <v>2</v>
      </c>
      <c r="AR251" s="433"/>
      <c r="AS251" s="433"/>
      <c r="AT251" s="433"/>
      <c r="AU251" s="433"/>
      <c r="AV251" s="562"/>
      <c r="AW251" s="562"/>
      <c r="AX251" s="562"/>
      <c r="AY251" s="562"/>
      <c r="AZ251" s="562"/>
      <c r="BA251" s="562"/>
      <c r="BB251" s="590"/>
      <c r="BC251" s="562"/>
      <c r="BD251" s="562"/>
      <c r="BE251" s="562"/>
      <c r="BF251" s="562"/>
      <c r="BG251" s="562"/>
    </row>
    <row r="252" spans="1:59" ht="14.5" customHeight="1" thickBot="1">
      <c r="A252" s="438"/>
      <c r="B252" s="439"/>
      <c r="C252" s="500"/>
      <c r="D252" s="502"/>
      <c r="E252" s="149"/>
      <c r="F252" s="149"/>
      <c r="G252" s="137"/>
      <c r="H252" s="137"/>
      <c r="I252" s="137"/>
      <c r="J252" s="495"/>
      <c r="K252" s="468"/>
      <c r="L252" s="478"/>
      <c r="M252" s="468"/>
      <c r="N252" s="497"/>
      <c r="O252" s="149"/>
      <c r="P252" s="137"/>
      <c r="Q252" s="137"/>
      <c r="R252" s="231"/>
      <c r="S252" s="208" t="str">
        <f t="shared" si="169"/>
        <v/>
      </c>
      <c r="T252" s="231"/>
      <c r="U252" s="208" t="str">
        <f t="shared" si="170"/>
        <v/>
      </c>
      <c r="V252" s="207"/>
      <c r="W252" s="208" t="str">
        <f t="shared" si="171"/>
        <v/>
      </c>
      <c r="X252" s="207"/>
      <c r="Y252" s="208" t="str">
        <f t="shared" si="172"/>
        <v/>
      </c>
      <c r="Z252" s="207"/>
      <c r="AA252" s="208" t="str">
        <f t="shared" si="173"/>
        <v/>
      </c>
      <c r="AB252" s="207"/>
      <c r="AC252" s="208" t="str">
        <f t="shared" si="174"/>
        <v/>
      </c>
      <c r="AD252" s="207"/>
      <c r="AE252" s="208" t="str">
        <f t="shared" si="175"/>
        <v/>
      </c>
      <c r="AF252" s="270" t="str">
        <f t="shared" si="176"/>
        <v/>
      </c>
      <c r="AG252" s="270" t="str">
        <f t="shared" si="177"/>
        <v/>
      </c>
      <c r="AH252" s="209"/>
      <c r="AI252" s="210" t="str">
        <f t="shared" si="178"/>
        <v>Débil</v>
      </c>
      <c r="AJ252" s="211" t="str">
        <f>IFERROR(VLOOKUP((CONCATENATE(AG252,AI252)),Listados!$U$3:$V$11,2,FALSE),"")</f>
        <v/>
      </c>
      <c r="AK252" s="270">
        <f t="shared" si="179"/>
        <v>100</v>
      </c>
      <c r="AL252" s="448"/>
      <c r="AM252" s="449"/>
      <c r="AN252" s="269">
        <f>+IF(AND(Q252="Preventivo",AM247="Fuerte"),2,IF(AND(Q252="Preventivo",AM247="Moderado"),1,0))</f>
        <v>0</v>
      </c>
      <c r="AO252" s="269">
        <f t="shared" si="180"/>
        <v>0</v>
      </c>
      <c r="AP252" s="212">
        <f>+K247-AN252</f>
        <v>2</v>
      </c>
      <c r="AQ252" s="212">
        <f>+M247-AO252</f>
        <v>2</v>
      </c>
      <c r="AR252" s="434"/>
      <c r="AS252" s="434"/>
      <c r="AT252" s="434"/>
      <c r="AU252" s="434"/>
      <c r="AV252" s="563"/>
      <c r="AW252" s="563"/>
      <c r="AX252" s="563"/>
      <c r="AY252" s="563"/>
      <c r="AZ252" s="563"/>
      <c r="BA252" s="563"/>
      <c r="BB252" s="591"/>
      <c r="BC252" s="563"/>
      <c r="BD252" s="563"/>
      <c r="BE252" s="563"/>
      <c r="BF252" s="563"/>
      <c r="BG252" s="563"/>
    </row>
    <row r="253" spans="1:59" ht="126">
      <c r="A253" s="436">
        <v>43</v>
      </c>
      <c r="B253" s="439" t="s">
        <v>68</v>
      </c>
      <c r="C253" s="500" t="str">
        <f>IFERROR(VLOOKUP(B253,Listados!B$3:C$20,2,FALSE),"")</f>
        <v>Gestión contra la Criminalidad y la Reincidencia</v>
      </c>
      <c r="D253" s="502" t="s">
        <v>1280</v>
      </c>
      <c r="E253" s="245" t="s">
        <v>15</v>
      </c>
      <c r="F253" s="245" t="s">
        <v>177</v>
      </c>
      <c r="G253" s="229" t="s">
        <v>442</v>
      </c>
      <c r="H253" s="229" t="s">
        <v>30</v>
      </c>
      <c r="I253" s="229" t="s">
        <v>331</v>
      </c>
      <c r="J253" s="495" t="s">
        <v>31</v>
      </c>
      <c r="K253" s="466">
        <f>+VLOOKUP(J253,[4]Listados!$K$8:$L$12,2,0)</f>
        <v>2</v>
      </c>
      <c r="L253" s="477" t="s">
        <v>32</v>
      </c>
      <c r="M253" s="466">
        <f>+VLOOKUP(L253,Listados!$K$13:$L$17,2,0)</f>
        <v>2</v>
      </c>
      <c r="N253" s="496" t="str">
        <f>IF(AND(J253&lt;&gt;"",L253&lt;&gt;""),VLOOKUP(J253&amp;L253,Listados!$M$3:$N$27,2,FALSE),"")</f>
        <v>Bajo</v>
      </c>
      <c r="O253" s="373" t="s">
        <v>1470</v>
      </c>
      <c r="P253" s="331" t="s">
        <v>442</v>
      </c>
      <c r="Q253" s="137" t="s">
        <v>20</v>
      </c>
      <c r="R253" s="207" t="s">
        <v>116</v>
      </c>
      <c r="S253" s="208">
        <f t="shared" si="169"/>
        <v>15</v>
      </c>
      <c r="T253" s="207" t="s">
        <v>257</v>
      </c>
      <c r="U253" s="208">
        <f t="shared" si="170"/>
        <v>15</v>
      </c>
      <c r="V253" s="207" t="s">
        <v>257</v>
      </c>
      <c r="W253" s="208">
        <f t="shared" si="171"/>
        <v>15</v>
      </c>
      <c r="X253" s="207" t="s">
        <v>20</v>
      </c>
      <c r="Y253" s="208">
        <f t="shared" si="172"/>
        <v>15</v>
      </c>
      <c r="Z253" s="207" t="s">
        <v>257</v>
      </c>
      <c r="AA253" s="208">
        <f t="shared" si="173"/>
        <v>15</v>
      </c>
      <c r="AB253" s="207" t="s">
        <v>257</v>
      </c>
      <c r="AC253" s="208">
        <f t="shared" si="174"/>
        <v>15</v>
      </c>
      <c r="AD253" s="207" t="s">
        <v>117</v>
      </c>
      <c r="AE253" s="208">
        <f t="shared" si="175"/>
        <v>10</v>
      </c>
      <c r="AF253" s="270">
        <f t="shared" si="176"/>
        <v>100</v>
      </c>
      <c r="AG253" s="270" t="str">
        <f t="shared" si="177"/>
        <v>Fuerte</v>
      </c>
      <c r="AH253" s="209" t="s">
        <v>118</v>
      </c>
      <c r="AI253" s="210" t="str">
        <f t="shared" si="178"/>
        <v>Fuerte</v>
      </c>
      <c r="AJ253" s="211" t="str">
        <f>IFERROR(VLOOKUP((CONCATENATE(AG253,AI253)),Listados!$U$3:$V$11,2,FALSE),"")</f>
        <v>Fuerte</v>
      </c>
      <c r="AK253" s="270">
        <f t="shared" si="179"/>
        <v>100</v>
      </c>
      <c r="AL253" s="446">
        <f>AVERAGE(AK253:AK258)</f>
        <v>100</v>
      </c>
      <c r="AM253" s="448" t="str">
        <f>IF(AL253&lt;=50, "Débil", IF(AL253&lt;=99,"Moderado","Fuerte"))</f>
        <v>Fuerte</v>
      </c>
      <c r="AN253" s="269">
        <f>+IF(AND(Q253="Preventivo",AM253="Fuerte"),2,IF(AND(Q253="Preventivo",AM253="Moderado"),1,0))</f>
        <v>2</v>
      </c>
      <c r="AO253" s="269">
        <f t="shared" si="180"/>
        <v>0</v>
      </c>
      <c r="AP253" s="212">
        <f>+K253-AN253</f>
        <v>0</v>
      </c>
      <c r="AQ253" s="212">
        <f>+M253-AO253</f>
        <v>2</v>
      </c>
      <c r="AR253" s="435" t="str">
        <f>+VLOOKUP(MIN(AP253,AP254,AP255,AP256,AP257,AP258),Listados!$J$18:$K$24,2,TRUE)</f>
        <v>Rara Vez</v>
      </c>
      <c r="AS253" s="435" t="str">
        <f>+VLOOKUP(MIN(AQ253,AQ254,AQ255,AQ256,AQ257,AQ258),Listados!$J$27:$K$32,2,TRUE)</f>
        <v>Menor</v>
      </c>
      <c r="AT253" s="435" t="str">
        <f>IF(AND(AR253&lt;&gt;"",AS253&lt;&gt;""),VLOOKUP(AR253&amp;AS253,Listados!$M$3:$N$27,2,FALSE),"")</f>
        <v>Bajo</v>
      </c>
      <c r="AU253" s="435" t="str">
        <f>+VLOOKUP(AT253,Listados!$P$3:$Q$6,2,FALSE)</f>
        <v>Asumir el riesgo</v>
      </c>
      <c r="AV253" s="633" t="s">
        <v>1098</v>
      </c>
      <c r="AW253" s="633" t="s">
        <v>1061</v>
      </c>
      <c r="AX253" s="634">
        <v>44927</v>
      </c>
      <c r="AY253" s="634">
        <v>45291</v>
      </c>
      <c r="AZ253" s="633" t="s">
        <v>1099</v>
      </c>
      <c r="BA253" s="633"/>
      <c r="BB253" s="635" t="s">
        <v>1472</v>
      </c>
      <c r="BC253" s="585" t="s">
        <v>1604</v>
      </c>
      <c r="BD253" s="585"/>
      <c r="BE253" s="592" t="s">
        <v>1536</v>
      </c>
      <c r="BF253" s="585" t="s">
        <v>1783</v>
      </c>
      <c r="BG253" s="585"/>
    </row>
    <row r="254" spans="1:59" ht="126">
      <c r="A254" s="437"/>
      <c r="B254" s="439"/>
      <c r="C254" s="500"/>
      <c r="D254" s="502"/>
      <c r="E254" s="245"/>
      <c r="F254" s="245"/>
      <c r="G254" s="245" t="s">
        <v>1469</v>
      </c>
      <c r="H254" s="229" t="s">
        <v>30</v>
      </c>
      <c r="I254" s="229" t="s">
        <v>441</v>
      </c>
      <c r="J254" s="495"/>
      <c r="K254" s="467"/>
      <c r="L254" s="478"/>
      <c r="M254" s="467"/>
      <c r="N254" s="497"/>
      <c r="O254" s="373" t="s">
        <v>1471</v>
      </c>
      <c r="P254" s="331" t="s">
        <v>1469</v>
      </c>
      <c r="Q254" s="137" t="s">
        <v>20</v>
      </c>
      <c r="R254" s="207" t="s">
        <v>116</v>
      </c>
      <c r="S254" s="208">
        <f t="shared" si="169"/>
        <v>15</v>
      </c>
      <c r="T254" s="207" t="s">
        <v>257</v>
      </c>
      <c r="U254" s="208">
        <f t="shared" si="170"/>
        <v>15</v>
      </c>
      <c r="V254" s="207" t="s">
        <v>257</v>
      </c>
      <c r="W254" s="208">
        <f t="shared" si="171"/>
        <v>15</v>
      </c>
      <c r="X254" s="207" t="s">
        <v>20</v>
      </c>
      <c r="Y254" s="208">
        <f t="shared" si="172"/>
        <v>15</v>
      </c>
      <c r="Z254" s="207" t="s">
        <v>257</v>
      </c>
      <c r="AA254" s="208">
        <f t="shared" si="173"/>
        <v>15</v>
      </c>
      <c r="AB254" s="207" t="s">
        <v>257</v>
      </c>
      <c r="AC254" s="208">
        <f t="shared" si="174"/>
        <v>15</v>
      </c>
      <c r="AD254" s="207" t="s">
        <v>117</v>
      </c>
      <c r="AE254" s="208">
        <f t="shared" si="175"/>
        <v>10</v>
      </c>
      <c r="AF254" s="270">
        <f t="shared" si="176"/>
        <v>100</v>
      </c>
      <c r="AG254" s="270" t="str">
        <f t="shared" si="177"/>
        <v>Fuerte</v>
      </c>
      <c r="AH254" s="209" t="s">
        <v>118</v>
      </c>
      <c r="AI254" s="210" t="str">
        <f t="shared" si="178"/>
        <v>Fuerte</v>
      </c>
      <c r="AJ254" s="211" t="str">
        <f>IFERROR(VLOOKUP((CONCATENATE(AG254,AI254)),Listados!$U$3:$V$11,2,FALSE),"")</f>
        <v>Fuerte</v>
      </c>
      <c r="AK254" s="270">
        <f t="shared" si="179"/>
        <v>100</v>
      </c>
      <c r="AL254" s="447"/>
      <c r="AM254" s="449"/>
      <c r="AN254" s="269">
        <f>+IF(AND(Q254="Preventivo",AM253="Fuerte"),2,IF(AND(Q254="Preventivo",AM253="Moderado"),1,0))</f>
        <v>2</v>
      </c>
      <c r="AO254" s="269">
        <f t="shared" si="180"/>
        <v>0</v>
      </c>
      <c r="AP254" s="212">
        <f>+K253-AN254</f>
        <v>0</v>
      </c>
      <c r="AQ254" s="212">
        <f>+M253-AO254</f>
        <v>2</v>
      </c>
      <c r="AR254" s="433"/>
      <c r="AS254" s="433"/>
      <c r="AT254" s="433"/>
      <c r="AU254" s="433"/>
      <c r="AV254" s="562"/>
      <c r="AW254" s="562"/>
      <c r="AX254" s="562"/>
      <c r="AY254" s="562"/>
      <c r="AZ254" s="562"/>
      <c r="BA254" s="562"/>
      <c r="BB254" s="581"/>
      <c r="BC254" s="562"/>
      <c r="BD254" s="562"/>
      <c r="BE254" s="562"/>
      <c r="BF254" s="562"/>
      <c r="BG254" s="562"/>
    </row>
    <row r="255" spans="1:59" ht="57" customHeight="1">
      <c r="A255" s="437"/>
      <c r="B255" s="439"/>
      <c r="C255" s="500"/>
      <c r="D255" s="502"/>
      <c r="E255" s="149"/>
      <c r="F255" s="149"/>
      <c r="G255" s="155" t="s">
        <v>443</v>
      </c>
      <c r="H255" s="137"/>
      <c r="I255" s="137"/>
      <c r="J255" s="495"/>
      <c r="K255" s="467"/>
      <c r="L255" s="478"/>
      <c r="M255" s="467"/>
      <c r="N255" s="497"/>
      <c r="O255" s="149"/>
      <c r="P255" s="137"/>
      <c r="Q255" s="137"/>
      <c r="R255" s="231"/>
      <c r="S255" s="208" t="str">
        <f t="shared" si="169"/>
        <v/>
      </c>
      <c r="T255" s="231"/>
      <c r="U255" s="208" t="str">
        <f t="shared" si="170"/>
        <v/>
      </c>
      <c r="V255" s="207"/>
      <c r="W255" s="208" t="str">
        <f t="shared" si="171"/>
        <v/>
      </c>
      <c r="X255" s="207"/>
      <c r="Y255" s="208" t="str">
        <f t="shared" si="172"/>
        <v/>
      </c>
      <c r="Z255" s="207"/>
      <c r="AA255" s="208" t="str">
        <f t="shared" si="173"/>
        <v/>
      </c>
      <c r="AB255" s="207"/>
      <c r="AC255" s="208" t="str">
        <f t="shared" si="174"/>
        <v/>
      </c>
      <c r="AD255" s="207"/>
      <c r="AE255" s="208" t="str">
        <f t="shared" si="175"/>
        <v/>
      </c>
      <c r="AF255" s="270" t="str">
        <f t="shared" si="176"/>
        <v/>
      </c>
      <c r="AG255" s="270" t="str">
        <f t="shared" si="177"/>
        <v/>
      </c>
      <c r="AH255" s="209"/>
      <c r="AI255" s="210" t="str">
        <f t="shared" si="178"/>
        <v>Débil</v>
      </c>
      <c r="AJ255" s="211" t="str">
        <f>IFERROR(VLOOKUP((CONCATENATE(AG255,AI255)),Listados!$U$3:$V$11,2,FALSE),"")</f>
        <v/>
      </c>
      <c r="AK255" s="270">
        <f t="shared" si="179"/>
        <v>100</v>
      </c>
      <c r="AL255" s="447"/>
      <c r="AM255" s="449"/>
      <c r="AN255" s="269">
        <f>+IF(AND(Q255="Preventivo",AM253="Fuerte"),2,IF(AND(Q255="Preventivo",AM253="Moderado"),1,0))</f>
        <v>0</v>
      </c>
      <c r="AO255" s="269">
        <f t="shared" si="180"/>
        <v>0</v>
      </c>
      <c r="AP255" s="212">
        <f>+K253-AN255</f>
        <v>2</v>
      </c>
      <c r="AQ255" s="212">
        <f>+M253-AO255</f>
        <v>2</v>
      </c>
      <c r="AR255" s="433"/>
      <c r="AS255" s="433"/>
      <c r="AT255" s="433"/>
      <c r="AU255" s="433"/>
      <c r="AV255" s="562"/>
      <c r="AW255" s="562"/>
      <c r="AX255" s="562"/>
      <c r="AY255" s="562"/>
      <c r="AZ255" s="562"/>
      <c r="BA255" s="562"/>
      <c r="BB255" s="581"/>
      <c r="BC255" s="562"/>
      <c r="BD255" s="562"/>
      <c r="BE255" s="562"/>
      <c r="BF255" s="562"/>
      <c r="BG255" s="562"/>
    </row>
    <row r="256" spans="1:59" ht="71.25" customHeight="1">
      <c r="A256" s="437"/>
      <c r="B256" s="439"/>
      <c r="C256" s="500"/>
      <c r="D256" s="502"/>
      <c r="E256" s="149"/>
      <c r="F256" s="149"/>
      <c r="G256" s="155" t="s">
        <v>444</v>
      </c>
      <c r="H256" s="137"/>
      <c r="I256" s="137"/>
      <c r="J256" s="495"/>
      <c r="K256" s="467"/>
      <c r="L256" s="478"/>
      <c r="M256" s="467"/>
      <c r="N256" s="497"/>
      <c r="O256" s="149"/>
      <c r="P256" s="137"/>
      <c r="Q256" s="137"/>
      <c r="R256" s="231"/>
      <c r="S256" s="208" t="str">
        <f t="shared" si="169"/>
        <v/>
      </c>
      <c r="T256" s="231"/>
      <c r="U256" s="208" t="str">
        <f t="shared" si="170"/>
        <v/>
      </c>
      <c r="V256" s="207"/>
      <c r="W256" s="208" t="str">
        <f t="shared" si="171"/>
        <v/>
      </c>
      <c r="X256" s="207"/>
      <c r="Y256" s="208" t="str">
        <f t="shared" si="172"/>
        <v/>
      </c>
      <c r="Z256" s="207"/>
      <c r="AA256" s="208" t="str">
        <f t="shared" si="173"/>
        <v/>
      </c>
      <c r="AB256" s="207"/>
      <c r="AC256" s="208" t="str">
        <f t="shared" si="174"/>
        <v/>
      </c>
      <c r="AD256" s="207"/>
      <c r="AE256" s="208" t="str">
        <f t="shared" si="175"/>
        <v/>
      </c>
      <c r="AF256" s="270" t="str">
        <f t="shared" si="176"/>
        <v/>
      </c>
      <c r="AG256" s="270" t="str">
        <f t="shared" si="177"/>
        <v/>
      </c>
      <c r="AH256" s="209"/>
      <c r="AI256" s="210" t="str">
        <f t="shared" si="178"/>
        <v>Débil</v>
      </c>
      <c r="AJ256" s="211" t="str">
        <f>IFERROR(VLOOKUP((CONCATENATE(AG256,AI256)),Listados!$U$3:$V$11,2,FALSE),"")</f>
        <v/>
      </c>
      <c r="AK256" s="270">
        <f t="shared" si="179"/>
        <v>100</v>
      </c>
      <c r="AL256" s="447"/>
      <c r="AM256" s="449"/>
      <c r="AN256" s="269">
        <f>+IF(AND(Q256="Preventivo",AM253="Fuerte"),2,IF(AND(Q256="Preventivo",AM253="Moderado"),1,0))</f>
        <v>0</v>
      </c>
      <c r="AO256" s="269">
        <f t="shared" si="180"/>
        <v>0</v>
      </c>
      <c r="AP256" s="212">
        <f>+K253-AN256</f>
        <v>2</v>
      </c>
      <c r="AQ256" s="212">
        <f>+M253-AO256</f>
        <v>2</v>
      </c>
      <c r="AR256" s="433"/>
      <c r="AS256" s="433"/>
      <c r="AT256" s="433"/>
      <c r="AU256" s="433"/>
      <c r="AV256" s="562"/>
      <c r="AW256" s="562"/>
      <c r="AX256" s="562"/>
      <c r="AY256" s="562"/>
      <c r="AZ256" s="562"/>
      <c r="BA256" s="562"/>
      <c r="BB256" s="581"/>
      <c r="BC256" s="562"/>
      <c r="BD256" s="562"/>
      <c r="BE256" s="562"/>
      <c r="BF256" s="562"/>
      <c r="BG256" s="562"/>
    </row>
    <row r="257" spans="1:59" ht="71.25" customHeight="1">
      <c r="A257" s="437"/>
      <c r="B257" s="439"/>
      <c r="C257" s="500"/>
      <c r="D257" s="502"/>
      <c r="E257" s="149"/>
      <c r="F257" s="149"/>
      <c r="G257" s="155" t="s">
        <v>445</v>
      </c>
      <c r="H257" s="137"/>
      <c r="I257" s="137"/>
      <c r="J257" s="495"/>
      <c r="K257" s="467"/>
      <c r="L257" s="478"/>
      <c r="M257" s="467"/>
      <c r="N257" s="497"/>
      <c r="O257" s="149"/>
      <c r="P257" s="137"/>
      <c r="Q257" s="137"/>
      <c r="R257" s="231"/>
      <c r="S257" s="208" t="str">
        <f t="shared" si="169"/>
        <v/>
      </c>
      <c r="T257" s="231"/>
      <c r="U257" s="208" t="str">
        <f t="shared" si="170"/>
        <v/>
      </c>
      <c r="V257" s="207"/>
      <c r="W257" s="208" t="str">
        <f t="shared" si="171"/>
        <v/>
      </c>
      <c r="X257" s="207"/>
      <c r="Y257" s="208" t="str">
        <f t="shared" si="172"/>
        <v/>
      </c>
      <c r="Z257" s="207"/>
      <c r="AA257" s="208" t="str">
        <f t="shared" si="173"/>
        <v/>
      </c>
      <c r="AB257" s="207"/>
      <c r="AC257" s="208" t="str">
        <f t="shared" si="174"/>
        <v/>
      </c>
      <c r="AD257" s="207"/>
      <c r="AE257" s="208" t="str">
        <f t="shared" si="175"/>
        <v/>
      </c>
      <c r="AF257" s="270" t="str">
        <f t="shared" si="176"/>
        <v/>
      </c>
      <c r="AG257" s="270" t="str">
        <f t="shared" si="177"/>
        <v/>
      </c>
      <c r="AH257" s="209"/>
      <c r="AI257" s="210" t="str">
        <f t="shared" si="178"/>
        <v>Débil</v>
      </c>
      <c r="AJ257" s="211" t="str">
        <f>IFERROR(VLOOKUP((CONCATENATE(AG257,AI257)),Listados!$U$3:$V$11,2,FALSE),"")</f>
        <v/>
      </c>
      <c r="AK257" s="270">
        <f t="shared" si="179"/>
        <v>100</v>
      </c>
      <c r="AL257" s="447"/>
      <c r="AM257" s="449"/>
      <c r="AN257" s="269">
        <f>+IF(AND(Q257="Preventivo",AM253="Fuerte"),2,IF(AND(Q257="Preventivo",AM253="Moderado"),1,0))</f>
        <v>0</v>
      </c>
      <c r="AO257" s="269">
        <f t="shared" si="180"/>
        <v>0</v>
      </c>
      <c r="AP257" s="212">
        <f>+K253-AN257</f>
        <v>2</v>
      </c>
      <c r="AQ257" s="212">
        <f>+M253-AO257</f>
        <v>2</v>
      </c>
      <c r="AR257" s="433"/>
      <c r="AS257" s="433"/>
      <c r="AT257" s="433"/>
      <c r="AU257" s="433"/>
      <c r="AV257" s="562"/>
      <c r="AW257" s="562"/>
      <c r="AX257" s="562"/>
      <c r="AY257" s="562"/>
      <c r="AZ257" s="562"/>
      <c r="BA257" s="562"/>
      <c r="BB257" s="581"/>
      <c r="BC257" s="562"/>
      <c r="BD257" s="562"/>
      <c r="BE257" s="562"/>
      <c r="BF257" s="562"/>
      <c r="BG257" s="562"/>
    </row>
    <row r="258" spans="1:59" ht="14.5" customHeight="1" thickBot="1">
      <c r="A258" s="438"/>
      <c r="B258" s="439"/>
      <c r="C258" s="500"/>
      <c r="D258" s="502"/>
      <c r="E258" s="149"/>
      <c r="F258" s="149"/>
      <c r="G258" s="137"/>
      <c r="H258" s="137"/>
      <c r="I258" s="137"/>
      <c r="J258" s="495"/>
      <c r="K258" s="468"/>
      <c r="L258" s="478"/>
      <c r="M258" s="468"/>
      <c r="N258" s="497"/>
      <c r="O258" s="149"/>
      <c r="P258" s="137"/>
      <c r="Q258" s="137"/>
      <c r="R258" s="231"/>
      <c r="S258" s="208" t="str">
        <f t="shared" si="169"/>
        <v/>
      </c>
      <c r="T258" s="231"/>
      <c r="U258" s="208" t="str">
        <f t="shared" si="170"/>
        <v/>
      </c>
      <c r="V258" s="207"/>
      <c r="W258" s="208" t="str">
        <f t="shared" si="171"/>
        <v/>
      </c>
      <c r="X258" s="207"/>
      <c r="Y258" s="208" t="str">
        <f t="shared" si="172"/>
        <v/>
      </c>
      <c r="Z258" s="207"/>
      <c r="AA258" s="208" t="str">
        <f t="shared" si="173"/>
        <v/>
      </c>
      <c r="AB258" s="207"/>
      <c r="AC258" s="208" t="str">
        <f t="shared" si="174"/>
        <v/>
      </c>
      <c r="AD258" s="207"/>
      <c r="AE258" s="208" t="str">
        <f t="shared" si="175"/>
        <v/>
      </c>
      <c r="AF258" s="270" t="str">
        <f t="shared" si="176"/>
        <v/>
      </c>
      <c r="AG258" s="270" t="str">
        <f t="shared" si="177"/>
        <v/>
      </c>
      <c r="AH258" s="209"/>
      <c r="AI258" s="210" t="str">
        <f t="shared" si="178"/>
        <v>Débil</v>
      </c>
      <c r="AJ258" s="211" t="str">
        <f>IFERROR(VLOOKUP((CONCATENATE(AG258,AI258)),Listados!$U$3:$V$11,2,FALSE),"")</f>
        <v/>
      </c>
      <c r="AK258" s="270">
        <f t="shared" si="179"/>
        <v>100</v>
      </c>
      <c r="AL258" s="448"/>
      <c r="AM258" s="449"/>
      <c r="AN258" s="269">
        <f>+IF(AND(Q258="Preventivo",AM253="Fuerte"),2,IF(AND(Q258="Preventivo",AM253="Moderado"),1,0))</f>
        <v>0</v>
      </c>
      <c r="AO258" s="269">
        <f t="shared" si="180"/>
        <v>0</v>
      </c>
      <c r="AP258" s="212">
        <f>+K253-AN258</f>
        <v>2</v>
      </c>
      <c r="AQ258" s="212">
        <f>+M253-AO258</f>
        <v>2</v>
      </c>
      <c r="AR258" s="434"/>
      <c r="AS258" s="434"/>
      <c r="AT258" s="434"/>
      <c r="AU258" s="434"/>
      <c r="AV258" s="563"/>
      <c r="AW258" s="563"/>
      <c r="AX258" s="563"/>
      <c r="AY258" s="563"/>
      <c r="AZ258" s="563"/>
      <c r="BA258" s="563"/>
      <c r="BB258" s="582"/>
      <c r="BC258" s="563"/>
      <c r="BD258" s="563"/>
      <c r="BE258" s="563"/>
      <c r="BF258" s="563"/>
      <c r="BG258" s="563"/>
    </row>
    <row r="259" spans="1:59" ht="182">
      <c r="A259" s="436">
        <v>44</v>
      </c>
      <c r="B259" s="439" t="s">
        <v>77</v>
      </c>
      <c r="C259" s="499" t="s">
        <v>1578</v>
      </c>
      <c r="D259" s="502" t="s">
        <v>1577</v>
      </c>
      <c r="E259" s="149" t="s">
        <v>29</v>
      </c>
      <c r="F259" s="149" t="s">
        <v>177</v>
      </c>
      <c r="G259" s="137" t="s">
        <v>446</v>
      </c>
      <c r="H259" s="137" t="s">
        <v>16</v>
      </c>
      <c r="I259" s="229" t="s">
        <v>1584</v>
      </c>
      <c r="J259" s="495" t="s">
        <v>44</v>
      </c>
      <c r="K259" s="466">
        <f>+VLOOKUP(J259,Listados!$K$8:$L$12,2,0)</f>
        <v>3</v>
      </c>
      <c r="L259" s="477" t="s">
        <v>64</v>
      </c>
      <c r="M259" s="466">
        <f>+VLOOKUP(L259,Listados!$K$13:$L$17,2,0)</f>
        <v>5</v>
      </c>
      <c r="N259" s="496" t="str">
        <f>IF(AND(J259&lt;&gt;"",L259&lt;&gt;""),VLOOKUP(J259&amp;L259,Listados!$M$3:$N$27,2,FALSE),"")</f>
        <v>Extremo</v>
      </c>
      <c r="O259" s="229" t="s">
        <v>1581</v>
      </c>
      <c r="P259" s="339" t="s">
        <v>446</v>
      </c>
      <c r="Q259" s="137" t="s">
        <v>20</v>
      </c>
      <c r="R259" s="207" t="s">
        <v>116</v>
      </c>
      <c r="S259" s="208">
        <f t="shared" si="169"/>
        <v>15</v>
      </c>
      <c r="T259" s="207" t="s">
        <v>257</v>
      </c>
      <c r="U259" s="208">
        <f t="shared" si="170"/>
        <v>15</v>
      </c>
      <c r="V259" s="207" t="s">
        <v>257</v>
      </c>
      <c r="W259" s="208">
        <f t="shared" si="171"/>
        <v>15</v>
      </c>
      <c r="X259" s="207" t="s">
        <v>20</v>
      </c>
      <c r="Y259" s="208">
        <f t="shared" si="172"/>
        <v>15</v>
      </c>
      <c r="Z259" s="207" t="s">
        <v>257</v>
      </c>
      <c r="AA259" s="208">
        <f t="shared" si="173"/>
        <v>15</v>
      </c>
      <c r="AB259" s="207" t="s">
        <v>257</v>
      </c>
      <c r="AC259" s="208">
        <f t="shared" si="174"/>
        <v>15</v>
      </c>
      <c r="AD259" s="207" t="s">
        <v>117</v>
      </c>
      <c r="AE259" s="208">
        <f t="shared" si="175"/>
        <v>10</v>
      </c>
      <c r="AF259" s="270">
        <f t="shared" si="176"/>
        <v>100</v>
      </c>
      <c r="AG259" s="270" t="str">
        <f t="shared" si="177"/>
        <v>Fuerte</v>
      </c>
      <c r="AH259" s="209" t="s">
        <v>118</v>
      </c>
      <c r="AI259" s="210" t="str">
        <f t="shared" si="178"/>
        <v>Fuerte</v>
      </c>
      <c r="AJ259" s="211" t="str">
        <f>IFERROR(VLOOKUP((CONCATENATE(AG259,AI259)),Listados!$U$3:$V$11,2,FALSE),"")</f>
        <v>Fuerte</v>
      </c>
      <c r="AK259" s="270">
        <f t="shared" si="179"/>
        <v>100</v>
      </c>
      <c r="AL259" s="446">
        <f>AVERAGE(AK259:AK264)</f>
        <v>100</v>
      </c>
      <c r="AM259" s="448" t="str">
        <f>IF(AL259&lt;=50, "Débil", IF(AL259&lt;=99,"Moderado","Fuerte"))</f>
        <v>Fuerte</v>
      </c>
      <c r="AN259" s="269">
        <f>+IF(AND(Q259="Preventivo",AM259="Fuerte"),2,IF(AND(Q259="Preventivo",AM259="Moderado"),1,0))</f>
        <v>2</v>
      </c>
      <c r="AO259" s="269">
        <f t="shared" si="180"/>
        <v>0</v>
      </c>
      <c r="AP259" s="212">
        <f>+K259-AN259</f>
        <v>1</v>
      </c>
      <c r="AQ259" s="212">
        <f>+M259-AO259</f>
        <v>5</v>
      </c>
      <c r="AR259" s="435" t="str">
        <f>+VLOOKUP(MIN(AP259,AP260,AP261,AP262,AP263,AP264),Listados!$J$18:$K$24,2,TRUE)</f>
        <v>Rara Vez</v>
      </c>
      <c r="AS259" s="435" t="str">
        <f>+VLOOKUP(MIN(AQ259,AQ260,AQ261,AQ262,AQ263,AQ264),Listados!$J$27:$K$32,2,TRUE)</f>
        <v>Catastrófico</v>
      </c>
      <c r="AT259" s="435" t="str">
        <f>IF(AND(AR259&lt;&gt;"",AS259&lt;&gt;""),VLOOKUP(AR259&amp;AS259,Listados!$M$3:$N$27,2,FALSE),"")</f>
        <v>Extremo</v>
      </c>
      <c r="AU259" s="435" t="str">
        <f>+VLOOKUP(AT259,Listados!$P$3:$Q$6,2,FALSE)</f>
        <v>Evitar el riesgo</v>
      </c>
      <c r="AV259" s="200" t="s">
        <v>1587</v>
      </c>
      <c r="AW259" s="200" t="s">
        <v>1061</v>
      </c>
      <c r="AX259" s="256">
        <v>44927</v>
      </c>
      <c r="AY259" s="256">
        <v>45291</v>
      </c>
      <c r="AZ259" s="200" t="s">
        <v>1068</v>
      </c>
      <c r="BA259" s="200" t="s">
        <v>1589</v>
      </c>
      <c r="BB259" s="377" t="s">
        <v>1478</v>
      </c>
      <c r="BC259" s="402" t="s">
        <v>1590</v>
      </c>
      <c r="BD259" s="202"/>
      <c r="BE259" s="638" t="s">
        <v>1537</v>
      </c>
      <c r="BF259" s="639" t="s">
        <v>1786</v>
      </c>
      <c r="BG259" s="639"/>
    </row>
    <row r="260" spans="1:59" ht="154">
      <c r="A260" s="437"/>
      <c r="B260" s="439"/>
      <c r="C260" s="500"/>
      <c r="D260" s="502"/>
      <c r="E260" s="149"/>
      <c r="F260" s="149"/>
      <c r="G260" s="137" t="s">
        <v>447</v>
      </c>
      <c r="H260" s="137" t="s">
        <v>16</v>
      </c>
      <c r="I260" s="229" t="s">
        <v>1585</v>
      </c>
      <c r="J260" s="495"/>
      <c r="K260" s="467"/>
      <c r="L260" s="478"/>
      <c r="M260" s="467"/>
      <c r="N260" s="497"/>
      <c r="O260" s="229" t="s">
        <v>1582</v>
      </c>
      <c r="P260" s="339" t="s">
        <v>447</v>
      </c>
      <c r="Q260" s="137" t="s">
        <v>20</v>
      </c>
      <c r="R260" s="207" t="s">
        <v>116</v>
      </c>
      <c r="S260" s="208">
        <f t="shared" si="169"/>
        <v>15</v>
      </c>
      <c r="T260" s="207" t="s">
        <v>257</v>
      </c>
      <c r="U260" s="208">
        <f t="shared" si="170"/>
        <v>15</v>
      </c>
      <c r="V260" s="207" t="s">
        <v>257</v>
      </c>
      <c r="W260" s="208">
        <f t="shared" si="171"/>
        <v>15</v>
      </c>
      <c r="X260" s="207" t="s">
        <v>20</v>
      </c>
      <c r="Y260" s="208">
        <f t="shared" si="172"/>
        <v>15</v>
      </c>
      <c r="Z260" s="207" t="s">
        <v>257</v>
      </c>
      <c r="AA260" s="208">
        <f t="shared" si="173"/>
        <v>15</v>
      </c>
      <c r="AB260" s="207" t="s">
        <v>257</v>
      </c>
      <c r="AC260" s="208">
        <f t="shared" si="174"/>
        <v>15</v>
      </c>
      <c r="AD260" s="207" t="s">
        <v>117</v>
      </c>
      <c r="AE260" s="208">
        <f t="shared" si="175"/>
        <v>10</v>
      </c>
      <c r="AF260" s="270">
        <f t="shared" si="176"/>
        <v>100</v>
      </c>
      <c r="AG260" s="270" t="str">
        <f t="shared" si="177"/>
        <v>Fuerte</v>
      </c>
      <c r="AH260" s="209" t="s">
        <v>118</v>
      </c>
      <c r="AI260" s="210" t="str">
        <f t="shared" si="178"/>
        <v>Fuerte</v>
      </c>
      <c r="AJ260" s="211" t="str">
        <f>IFERROR(VLOOKUP((CONCATENATE(AG260,AI260)),Listados!$U$3:$V$11,2,FALSE),"")</f>
        <v>Fuerte</v>
      </c>
      <c r="AK260" s="270">
        <f t="shared" si="179"/>
        <v>100</v>
      </c>
      <c r="AL260" s="447"/>
      <c r="AM260" s="449"/>
      <c r="AN260" s="269">
        <f>+IF(AND(Q260="Preventivo",AM259="Fuerte"),2,IF(AND(Q260="Preventivo",AM259="Moderado"),1,0))</f>
        <v>2</v>
      </c>
      <c r="AO260" s="269">
        <f t="shared" si="180"/>
        <v>0</v>
      </c>
      <c r="AP260" s="212">
        <f>+K259-AN260</f>
        <v>1</v>
      </c>
      <c r="AQ260" s="212">
        <f>+M259-AO260</f>
        <v>5</v>
      </c>
      <c r="AR260" s="433"/>
      <c r="AS260" s="433"/>
      <c r="AT260" s="433"/>
      <c r="AU260" s="433"/>
      <c r="AV260" s="200" t="s">
        <v>1587</v>
      </c>
      <c r="AW260" s="200" t="s">
        <v>1061</v>
      </c>
      <c r="AX260" s="256">
        <v>44927</v>
      </c>
      <c r="AY260" s="256">
        <v>45291</v>
      </c>
      <c r="AZ260" s="200" t="s">
        <v>1586</v>
      </c>
      <c r="BA260" s="200" t="s">
        <v>1589</v>
      </c>
      <c r="BB260" s="377" t="s">
        <v>1479</v>
      </c>
      <c r="BC260" s="402" t="s">
        <v>1591</v>
      </c>
      <c r="BD260" s="238"/>
      <c r="BE260" s="562"/>
      <c r="BF260" s="549"/>
      <c r="BG260" s="549"/>
    </row>
    <row r="261" spans="1:59" ht="378">
      <c r="A261" s="437"/>
      <c r="B261" s="439"/>
      <c r="C261" s="500"/>
      <c r="D261" s="502"/>
      <c r="E261" s="149"/>
      <c r="F261" s="149"/>
      <c r="G261" s="137" t="s">
        <v>448</v>
      </c>
      <c r="H261" s="137" t="s">
        <v>16</v>
      </c>
      <c r="I261" s="229" t="s">
        <v>449</v>
      </c>
      <c r="J261" s="495"/>
      <c r="K261" s="467"/>
      <c r="L261" s="478"/>
      <c r="M261" s="467"/>
      <c r="N261" s="497"/>
      <c r="O261" s="229" t="s">
        <v>1583</v>
      </c>
      <c r="P261" s="339" t="s">
        <v>448</v>
      </c>
      <c r="Q261" s="137" t="s">
        <v>20</v>
      </c>
      <c r="R261" s="207" t="s">
        <v>116</v>
      </c>
      <c r="S261" s="208">
        <f t="shared" si="169"/>
        <v>15</v>
      </c>
      <c r="T261" s="207" t="s">
        <v>257</v>
      </c>
      <c r="U261" s="208">
        <f t="shared" si="170"/>
        <v>15</v>
      </c>
      <c r="V261" s="207" t="s">
        <v>257</v>
      </c>
      <c r="W261" s="208">
        <f t="shared" si="171"/>
        <v>15</v>
      </c>
      <c r="X261" s="207" t="s">
        <v>20</v>
      </c>
      <c r="Y261" s="208">
        <f t="shared" si="172"/>
        <v>15</v>
      </c>
      <c r="Z261" s="207" t="s">
        <v>257</v>
      </c>
      <c r="AA261" s="208">
        <f t="shared" si="173"/>
        <v>15</v>
      </c>
      <c r="AB261" s="207" t="s">
        <v>257</v>
      </c>
      <c r="AC261" s="208">
        <f t="shared" si="174"/>
        <v>15</v>
      </c>
      <c r="AD261" s="207" t="s">
        <v>117</v>
      </c>
      <c r="AE261" s="208">
        <f t="shared" si="175"/>
        <v>10</v>
      </c>
      <c r="AF261" s="270">
        <f t="shared" si="176"/>
        <v>100</v>
      </c>
      <c r="AG261" s="270" t="str">
        <f t="shared" si="177"/>
        <v>Fuerte</v>
      </c>
      <c r="AH261" s="209" t="s">
        <v>118</v>
      </c>
      <c r="AI261" s="210" t="str">
        <f t="shared" si="178"/>
        <v>Fuerte</v>
      </c>
      <c r="AJ261" s="211" t="str">
        <f>IFERROR(VLOOKUP((CONCATENATE(AG261,AI261)),Listados!$U$3:$V$11,2,FALSE),"")</f>
        <v>Fuerte</v>
      </c>
      <c r="AK261" s="270">
        <f t="shared" si="179"/>
        <v>100</v>
      </c>
      <c r="AL261" s="447"/>
      <c r="AM261" s="449"/>
      <c r="AN261" s="269">
        <f>+IF(AND(Q261="Preventivo",AM259="Fuerte"),2,IF(AND(Q261="Preventivo",AM259="Moderado"),1,0))</f>
        <v>2</v>
      </c>
      <c r="AO261" s="269">
        <f t="shared" si="180"/>
        <v>0</v>
      </c>
      <c r="AP261" s="212">
        <f>+K259-AN261</f>
        <v>1</v>
      </c>
      <c r="AQ261" s="212">
        <f>+M259-AO261</f>
        <v>5</v>
      </c>
      <c r="AR261" s="433"/>
      <c r="AS261" s="433"/>
      <c r="AT261" s="433"/>
      <c r="AU261" s="433"/>
      <c r="AV261" s="200" t="s">
        <v>1588</v>
      </c>
      <c r="AW261" s="200" t="s">
        <v>1061</v>
      </c>
      <c r="AX261" s="256">
        <v>44927</v>
      </c>
      <c r="AY261" s="256">
        <v>45291</v>
      </c>
      <c r="AZ261" s="200" t="s">
        <v>1586</v>
      </c>
      <c r="BA261" s="200" t="s">
        <v>1589</v>
      </c>
      <c r="BB261" s="352" t="s">
        <v>1480</v>
      </c>
      <c r="BC261" s="402" t="s">
        <v>1592</v>
      </c>
      <c r="BD261" s="238"/>
      <c r="BE261" s="562"/>
      <c r="BF261" s="549"/>
      <c r="BG261" s="549"/>
    </row>
    <row r="262" spans="1:59" ht="70">
      <c r="A262" s="437"/>
      <c r="B262" s="439"/>
      <c r="C262" s="500"/>
      <c r="D262" s="502"/>
      <c r="E262" s="149"/>
      <c r="F262" s="149"/>
      <c r="G262" s="137" t="s">
        <v>1579</v>
      </c>
      <c r="H262" s="137" t="s">
        <v>16</v>
      </c>
      <c r="I262" s="229" t="s">
        <v>328</v>
      </c>
      <c r="J262" s="495"/>
      <c r="K262" s="467"/>
      <c r="L262" s="478"/>
      <c r="M262" s="467"/>
      <c r="N262" s="497"/>
      <c r="O262" s="149"/>
      <c r="P262" s="137"/>
      <c r="Q262" s="137"/>
      <c r="R262" s="231"/>
      <c r="S262" s="208" t="str">
        <f t="shared" si="169"/>
        <v/>
      </c>
      <c r="T262" s="231"/>
      <c r="U262" s="208" t="str">
        <f t="shared" si="170"/>
        <v/>
      </c>
      <c r="V262" s="207"/>
      <c r="W262" s="208" t="str">
        <f t="shared" si="171"/>
        <v/>
      </c>
      <c r="X262" s="207"/>
      <c r="Y262" s="208" t="str">
        <f t="shared" si="172"/>
        <v/>
      </c>
      <c r="Z262" s="207"/>
      <c r="AA262" s="208" t="str">
        <f t="shared" si="173"/>
        <v/>
      </c>
      <c r="AB262" s="207"/>
      <c r="AC262" s="208" t="str">
        <f t="shared" si="174"/>
        <v/>
      </c>
      <c r="AD262" s="207"/>
      <c r="AE262" s="208" t="str">
        <f t="shared" si="175"/>
        <v/>
      </c>
      <c r="AF262" s="270" t="str">
        <f t="shared" si="176"/>
        <v/>
      </c>
      <c r="AG262" s="270" t="str">
        <f t="shared" si="177"/>
        <v/>
      </c>
      <c r="AH262" s="209"/>
      <c r="AI262" s="210" t="str">
        <f t="shared" si="178"/>
        <v>Débil</v>
      </c>
      <c r="AJ262" s="211" t="str">
        <f>IFERROR(VLOOKUP((CONCATENATE(AG262,AI262)),Listados!$U$3:$V$11,2,FALSE),"")</f>
        <v/>
      </c>
      <c r="AK262" s="270">
        <f t="shared" si="179"/>
        <v>100</v>
      </c>
      <c r="AL262" s="447"/>
      <c r="AM262" s="449"/>
      <c r="AN262" s="269">
        <f>+IF(AND(Q262="Preventivo",AM259="Fuerte"),2,IF(AND(Q262="Preventivo",AM259="Moderado"),1,0))</f>
        <v>0</v>
      </c>
      <c r="AO262" s="269">
        <f t="shared" si="180"/>
        <v>0</v>
      </c>
      <c r="AP262" s="212">
        <f>+K259-AN262</f>
        <v>3</v>
      </c>
      <c r="AQ262" s="212">
        <f>+M259-AO262</f>
        <v>5</v>
      </c>
      <c r="AR262" s="433"/>
      <c r="AS262" s="433"/>
      <c r="AT262" s="433"/>
      <c r="AU262" s="433"/>
      <c r="AV262" s="201"/>
      <c r="AW262" s="201"/>
      <c r="AX262" s="201"/>
      <c r="AY262" s="201"/>
      <c r="AZ262" s="201"/>
      <c r="BA262" s="201"/>
      <c r="BB262" s="354"/>
      <c r="BC262" s="282"/>
      <c r="BD262" s="282"/>
      <c r="BE262" s="562"/>
      <c r="BF262" s="549"/>
      <c r="BG262" s="549"/>
    </row>
    <row r="263" spans="1:59" ht="70">
      <c r="A263" s="437"/>
      <c r="B263" s="439"/>
      <c r="C263" s="500"/>
      <c r="D263" s="502"/>
      <c r="E263" s="149"/>
      <c r="F263" s="149"/>
      <c r="G263" s="137" t="s">
        <v>1579</v>
      </c>
      <c r="H263" s="137" t="s">
        <v>16</v>
      </c>
      <c r="I263" s="137"/>
      <c r="J263" s="495"/>
      <c r="K263" s="467"/>
      <c r="L263" s="478"/>
      <c r="M263" s="467"/>
      <c r="N263" s="497"/>
      <c r="O263" s="149"/>
      <c r="P263" s="137"/>
      <c r="Q263" s="137"/>
      <c r="R263" s="231"/>
      <c r="S263" s="208" t="str">
        <f t="shared" si="169"/>
        <v/>
      </c>
      <c r="T263" s="231"/>
      <c r="U263" s="208" t="str">
        <f t="shared" si="170"/>
        <v/>
      </c>
      <c r="V263" s="207"/>
      <c r="W263" s="208" t="str">
        <f t="shared" si="171"/>
        <v/>
      </c>
      <c r="X263" s="207"/>
      <c r="Y263" s="208" t="str">
        <f t="shared" si="172"/>
        <v/>
      </c>
      <c r="Z263" s="207"/>
      <c r="AA263" s="208" t="str">
        <f t="shared" si="173"/>
        <v/>
      </c>
      <c r="AB263" s="207"/>
      <c r="AC263" s="208" t="str">
        <f t="shared" si="174"/>
        <v/>
      </c>
      <c r="AD263" s="207"/>
      <c r="AE263" s="208" t="str">
        <f t="shared" si="175"/>
        <v/>
      </c>
      <c r="AF263" s="270" t="str">
        <f t="shared" si="176"/>
        <v/>
      </c>
      <c r="AG263" s="270" t="str">
        <f t="shared" si="177"/>
        <v/>
      </c>
      <c r="AH263" s="209"/>
      <c r="AI263" s="210" t="str">
        <f t="shared" si="178"/>
        <v>Débil</v>
      </c>
      <c r="AJ263" s="211" t="str">
        <f>IFERROR(VLOOKUP((CONCATENATE(AG263,AI263)),Listados!$U$3:$V$11,2,FALSE),"")</f>
        <v/>
      </c>
      <c r="AK263" s="270">
        <f t="shared" si="179"/>
        <v>100</v>
      </c>
      <c r="AL263" s="447"/>
      <c r="AM263" s="449"/>
      <c r="AN263" s="269">
        <f>+IF(AND(Q263="Preventivo",AM259="Fuerte"),2,IF(AND(Q263="Preventivo",AM259="Moderado"),1,0))</f>
        <v>0</v>
      </c>
      <c r="AO263" s="269">
        <f t="shared" si="180"/>
        <v>0</v>
      </c>
      <c r="AP263" s="212">
        <f>+K259-AN263</f>
        <v>3</v>
      </c>
      <c r="AQ263" s="212">
        <f>+M259-AO263</f>
        <v>5</v>
      </c>
      <c r="AR263" s="433"/>
      <c r="AS263" s="433"/>
      <c r="AT263" s="433"/>
      <c r="AU263" s="433"/>
      <c r="AV263" s="201"/>
      <c r="AW263" s="201"/>
      <c r="AX263" s="201"/>
      <c r="AY263" s="201"/>
      <c r="AZ263" s="201"/>
      <c r="BA263" s="201"/>
      <c r="BB263" s="354"/>
      <c r="BC263" s="282"/>
      <c r="BD263" s="282"/>
      <c r="BE263" s="562"/>
      <c r="BF263" s="549"/>
      <c r="BG263" s="549"/>
    </row>
    <row r="264" spans="1:59" ht="56.5" thickBot="1">
      <c r="A264" s="438"/>
      <c r="B264" s="439"/>
      <c r="C264" s="500"/>
      <c r="D264" s="502"/>
      <c r="E264" s="149"/>
      <c r="F264" s="149"/>
      <c r="G264" s="137" t="s">
        <v>1580</v>
      </c>
      <c r="H264" s="137" t="s">
        <v>16</v>
      </c>
      <c r="I264" s="137"/>
      <c r="J264" s="495"/>
      <c r="K264" s="468"/>
      <c r="L264" s="478"/>
      <c r="M264" s="468"/>
      <c r="N264" s="497"/>
      <c r="O264" s="149"/>
      <c r="P264" s="137"/>
      <c r="Q264" s="137"/>
      <c r="R264" s="231"/>
      <c r="S264" s="208" t="str">
        <f t="shared" si="169"/>
        <v/>
      </c>
      <c r="T264" s="231"/>
      <c r="U264" s="208" t="str">
        <f t="shared" si="170"/>
        <v/>
      </c>
      <c r="V264" s="207"/>
      <c r="W264" s="208" t="str">
        <f t="shared" si="171"/>
        <v/>
      </c>
      <c r="X264" s="207"/>
      <c r="Y264" s="208" t="str">
        <f t="shared" si="172"/>
        <v/>
      </c>
      <c r="Z264" s="207"/>
      <c r="AA264" s="208" t="str">
        <f t="shared" si="173"/>
        <v/>
      </c>
      <c r="AB264" s="207"/>
      <c r="AC264" s="208" t="str">
        <f t="shared" si="174"/>
        <v/>
      </c>
      <c r="AD264" s="207"/>
      <c r="AE264" s="208" t="str">
        <f t="shared" si="175"/>
        <v/>
      </c>
      <c r="AF264" s="270" t="str">
        <f t="shared" si="176"/>
        <v/>
      </c>
      <c r="AG264" s="270" t="str">
        <f t="shared" si="177"/>
        <v/>
      </c>
      <c r="AH264" s="209"/>
      <c r="AI264" s="210" t="str">
        <f t="shared" si="178"/>
        <v>Débil</v>
      </c>
      <c r="AJ264" s="211" t="str">
        <f>IFERROR(VLOOKUP((CONCATENATE(AG264,AI264)),Listados!$U$3:$V$11,2,FALSE),"")</f>
        <v/>
      </c>
      <c r="AK264" s="270">
        <f t="shared" si="179"/>
        <v>100</v>
      </c>
      <c r="AL264" s="448"/>
      <c r="AM264" s="449"/>
      <c r="AN264" s="269">
        <f>+IF(AND(Q264="Preventivo",AM259="Fuerte"),2,IF(AND(Q264="Preventivo",AM259="Moderado"),1,0))</f>
        <v>0</v>
      </c>
      <c r="AO264" s="269">
        <f t="shared" si="180"/>
        <v>0</v>
      </c>
      <c r="AP264" s="212">
        <f>+K259-AN264</f>
        <v>3</v>
      </c>
      <c r="AQ264" s="212">
        <f>+M259-AO264</f>
        <v>5</v>
      </c>
      <c r="AR264" s="434"/>
      <c r="AS264" s="434"/>
      <c r="AT264" s="434"/>
      <c r="AU264" s="434"/>
      <c r="AV264" s="201"/>
      <c r="AW264" s="201"/>
      <c r="AX264" s="201"/>
      <c r="AY264" s="201"/>
      <c r="AZ264" s="201"/>
      <c r="BA264" s="201"/>
      <c r="BB264" s="354"/>
      <c r="BC264" s="282"/>
      <c r="BD264" s="282"/>
      <c r="BE264" s="563"/>
      <c r="BF264" s="550"/>
      <c r="BG264" s="550"/>
    </row>
    <row r="265" spans="1:59" ht="126" customHeight="1">
      <c r="A265" s="436">
        <v>45</v>
      </c>
      <c r="B265" s="439" t="s">
        <v>77</v>
      </c>
      <c r="C265" s="499" t="s">
        <v>1578</v>
      </c>
      <c r="D265" s="502" t="s">
        <v>1593</v>
      </c>
      <c r="E265" s="149" t="s">
        <v>52</v>
      </c>
      <c r="F265" s="149" t="s">
        <v>177</v>
      </c>
      <c r="G265" s="137" t="s">
        <v>1594</v>
      </c>
      <c r="H265" s="137" t="s">
        <v>16</v>
      </c>
      <c r="I265" s="137" t="s">
        <v>450</v>
      </c>
      <c r="J265" s="495" t="s">
        <v>44</v>
      </c>
      <c r="K265" s="466">
        <f>+VLOOKUP(J265,Listados!$K$8:$L$12,2,0)</f>
        <v>3</v>
      </c>
      <c r="L265" s="477" t="s">
        <v>36</v>
      </c>
      <c r="M265" s="466">
        <f>+VLOOKUP(L265,Listados!$K$13:$L$17,2,0)</f>
        <v>3</v>
      </c>
      <c r="N265" s="496" t="str">
        <f>IF(AND(J265&lt;&gt;"",L265&lt;&gt;""),VLOOKUP(J265&amp;L265,Listados!$M$3:$N$27,2,FALSE),"")</f>
        <v>Alto</v>
      </c>
      <c r="O265" s="229" t="s">
        <v>1215</v>
      </c>
      <c r="P265" s="229" t="s">
        <v>1599</v>
      </c>
      <c r="Q265" s="137" t="s">
        <v>20</v>
      </c>
      <c r="R265" s="207" t="s">
        <v>116</v>
      </c>
      <c r="S265" s="208">
        <f t="shared" si="169"/>
        <v>15</v>
      </c>
      <c r="T265" s="207" t="s">
        <v>257</v>
      </c>
      <c r="U265" s="208">
        <f t="shared" si="170"/>
        <v>15</v>
      </c>
      <c r="V265" s="207" t="s">
        <v>257</v>
      </c>
      <c r="W265" s="208">
        <f t="shared" si="171"/>
        <v>15</v>
      </c>
      <c r="X265" s="207" t="s">
        <v>20</v>
      </c>
      <c r="Y265" s="208">
        <f t="shared" si="172"/>
        <v>15</v>
      </c>
      <c r="Z265" s="207" t="s">
        <v>257</v>
      </c>
      <c r="AA265" s="208">
        <f t="shared" si="173"/>
        <v>15</v>
      </c>
      <c r="AB265" s="207" t="s">
        <v>257</v>
      </c>
      <c r="AC265" s="208">
        <f t="shared" si="174"/>
        <v>15</v>
      </c>
      <c r="AD265" s="207" t="s">
        <v>117</v>
      </c>
      <c r="AE265" s="208">
        <f t="shared" si="175"/>
        <v>10</v>
      </c>
      <c r="AF265" s="270">
        <f t="shared" si="176"/>
        <v>100</v>
      </c>
      <c r="AG265" s="270" t="str">
        <f t="shared" si="177"/>
        <v>Fuerte</v>
      </c>
      <c r="AH265" s="209" t="s">
        <v>118</v>
      </c>
      <c r="AI265" s="210" t="str">
        <f t="shared" si="178"/>
        <v>Fuerte</v>
      </c>
      <c r="AJ265" s="211" t="str">
        <f>IFERROR(VLOOKUP((CONCATENATE(AG265,AI265)),Listados!$U$3:$V$11,2,FALSE),"")</f>
        <v>Fuerte</v>
      </c>
      <c r="AK265" s="270">
        <f t="shared" si="179"/>
        <v>100</v>
      </c>
      <c r="AL265" s="446">
        <f>AVERAGE(AK265:AK270)</f>
        <v>100</v>
      </c>
      <c r="AM265" s="448" t="str">
        <f>IF(AL265&lt;=50, "Débil", IF(AL265&lt;=99,"Moderado","Fuerte"))</f>
        <v>Fuerte</v>
      </c>
      <c r="AN265" s="269">
        <f>+IF(AND(Q265="Preventivo",AM265="Fuerte"),2,IF(AND(Q265="Preventivo",AM265="Moderado"),1,0))</f>
        <v>2</v>
      </c>
      <c r="AO265" s="269">
        <f t="shared" si="180"/>
        <v>0</v>
      </c>
      <c r="AP265" s="212">
        <f>+K265-AN265</f>
        <v>1</v>
      </c>
      <c r="AQ265" s="212">
        <f>+M265-AO265</f>
        <v>3</v>
      </c>
      <c r="AR265" s="435" t="str">
        <f>+VLOOKUP(MIN(AP265,AP266,AP267,AP268,AP269,AP270),Listados!$J$18:$K$24,2,TRUE)</f>
        <v>Rara Vez</v>
      </c>
      <c r="AS265" s="435" t="str">
        <f>+VLOOKUP(MIN(AQ265,AQ266,AQ267,AQ268,AQ269,AQ270),Listados!$J$27:$K$32,2,TRUE)</f>
        <v>Moderado</v>
      </c>
      <c r="AT265" s="435" t="str">
        <f>IF(AND(AR265&lt;&gt;"",AS265&lt;&gt;""),VLOOKUP(AR265&amp;AS265,Listados!$M$3:$N$27,2,FALSE),"")</f>
        <v>Moderado</v>
      </c>
      <c r="AU265" s="435" t="str">
        <f>+VLOOKUP(AT265,Listados!$P$3:$Q$6,2,FALSE)</f>
        <v xml:space="preserve"> Reducir el riesgo</v>
      </c>
      <c r="AV265" s="593" t="s">
        <v>1216</v>
      </c>
      <c r="AW265" s="593" t="s">
        <v>1061</v>
      </c>
      <c r="AX265" s="596">
        <v>44927</v>
      </c>
      <c r="AY265" s="596">
        <v>45291</v>
      </c>
      <c r="AZ265" s="593" t="s">
        <v>1069</v>
      </c>
      <c r="BA265" s="593" t="s">
        <v>1481</v>
      </c>
      <c r="BB265" s="640" t="s">
        <v>1482</v>
      </c>
      <c r="BC265" s="593" t="s">
        <v>1598</v>
      </c>
      <c r="BD265" s="593" t="s">
        <v>1784</v>
      </c>
      <c r="BE265" s="238" t="s">
        <v>1538</v>
      </c>
      <c r="BF265" s="643" t="s">
        <v>1785</v>
      </c>
      <c r="BG265" s="643"/>
    </row>
    <row r="266" spans="1:59" ht="70" customHeight="1">
      <c r="A266" s="437"/>
      <c r="B266" s="439"/>
      <c r="C266" s="500"/>
      <c r="D266" s="502"/>
      <c r="E266" s="149"/>
      <c r="F266" s="149"/>
      <c r="G266" s="137" t="s">
        <v>1595</v>
      </c>
      <c r="H266" s="137" t="s">
        <v>16</v>
      </c>
      <c r="I266" s="139" t="s">
        <v>1597</v>
      </c>
      <c r="J266" s="495"/>
      <c r="K266" s="467"/>
      <c r="L266" s="478"/>
      <c r="M266" s="467"/>
      <c r="N266" s="497"/>
      <c r="O266" s="149"/>
      <c r="P266" s="137"/>
      <c r="Q266" s="137"/>
      <c r="R266" s="231"/>
      <c r="S266" s="208" t="str">
        <f t="shared" si="169"/>
        <v/>
      </c>
      <c r="T266" s="231"/>
      <c r="U266" s="208" t="str">
        <f t="shared" si="170"/>
        <v/>
      </c>
      <c r="V266" s="207"/>
      <c r="W266" s="208" t="str">
        <f t="shared" si="171"/>
        <v/>
      </c>
      <c r="X266" s="207"/>
      <c r="Y266" s="208" t="str">
        <f t="shared" si="172"/>
        <v/>
      </c>
      <c r="Z266" s="207"/>
      <c r="AA266" s="208" t="str">
        <f t="shared" si="173"/>
        <v/>
      </c>
      <c r="AB266" s="207"/>
      <c r="AC266" s="208" t="str">
        <f t="shared" si="174"/>
        <v/>
      </c>
      <c r="AD266" s="207"/>
      <c r="AE266" s="208" t="str">
        <f t="shared" si="175"/>
        <v/>
      </c>
      <c r="AF266" s="270" t="str">
        <f t="shared" si="176"/>
        <v/>
      </c>
      <c r="AG266" s="270" t="str">
        <f t="shared" si="177"/>
        <v/>
      </c>
      <c r="AH266" s="209"/>
      <c r="AI266" s="210" t="str">
        <f t="shared" si="178"/>
        <v>Débil</v>
      </c>
      <c r="AJ266" s="211" t="str">
        <f>IFERROR(VLOOKUP((CONCATENATE(AG266,AI266)),Listados!$U$3:$V$11,2,FALSE),"")</f>
        <v/>
      </c>
      <c r="AK266" s="270">
        <f t="shared" si="179"/>
        <v>100</v>
      </c>
      <c r="AL266" s="447"/>
      <c r="AM266" s="449"/>
      <c r="AN266" s="269">
        <f>+IF(AND(Q266="Preventivo",AM265="Fuerte"),2,IF(AND(Q266="Preventivo",AM265="Moderado"),1,0))</f>
        <v>0</v>
      </c>
      <c r="AO266" s="269">
        <f t="shared" si="180"/>
        <v>0</v>
      </c>
      <c r="AP266" s="212">
        <f>+K265-AN266</f>
        <v>3</v>
      </c>
      <c r="AQ266" s="212">
        <f>+M265-AO266</f>
        <v>3</v>
      </c>
      <c r="AR266" s="433"/>
      <c r="AS266" s="433"/>
      <c r="AT266" s="433"/>
      <c r="AU266" s="433"/>
      <c r="AV266" s="594"/>
      <c r="AW266" s="594"/>
      <c r="AX266" s="597"/>
      <c r="AY266" s="597"/>
      <c r="AZ266" s="594"/>
      <c r="BA266" s="594"/>
      <c r="BB266" s="641"/>
      <c r="BC266" s="594"/>
      <c r="BD266" s="594"/>
      <c r="BE266" s="420"/>
      <c r="BF266" s="594"/>
      <c r="BG266" s="594"/>
    </row>
    <row r="267" spans="1:59" ht="84" customHeight="1">
      <c r="A267" s="437"/>
      <c r="B267" s="439"/>
      <c r="C267" s="500"/>
      <c r="D267" s="502"/>
      <c r="E267" s="149"/>
      <c r="F267" s="149"/>
      <c r="G267" s="137" t="s">
        <v>1596</v>
      </c>
      <c r="H267" s="137" t="s">
        <v>16</v>
      </c>
      <c r="I267" s="137" t="s">
        <v>350</v>
      </c>
      <c r="J267" s="495"/>
      <c r="K267" s="467"/>
      <c r="L267" s="478"/>
      <c r="M267" s="467"/>
      <c r="N267" s="497"/>
      <c r="O267" s="149"/>
      <c r="P267" s="137"/>
      <c r="Q267" s="137"/>
      <c r="R267" s="231"/>
      <c r="S267" s="208" t="str">
        <f t="shared" si="169"/>
        <v/>
      </c>
      <c r="T267" s="231"/>
      <c r="U267" s="208" t="str">
        <f t="shared" si="170"/>
        <v/>
      </c>
      <c r="V267" s="207"/>
      <c r="W267" s="208" t="str">
        <f t="shared" si="171"/>
        <v/>
      </c>
      <c r="X267" s="207"/>
      <c r="Y267" s="208" t="str">
        <f t="shared" si="172"/>
        <v/>
      </c>
      <c r="Z267" s="207"/>
      <c r="AA267" s="208" t="str">
        <f t="shared" si="173"/>
        <v/>
      </c>
      <c r="AB267" s="207"/>
      <c r="AC267" s="208" t="str">
        <f t="shared" si="174"/>
        <v/>
      </c>
      <c r="AD267" s="207"/>
      <c r="AE267" s="208" t="str">
        <f t="shared" si="175"/>
        <v/>
      </c>
      <c r="AF267" s="270" t="str">
        <f t="shared" si="176"/>
        <v/>
      </c>
      <c r="AG267" s="270" t="str">
        <f t="shared" si="177"/>
        <v/>
      </c>
      <c r="AH267" s="209"/>
      <c r="AI267" s="210" t="str">
        <f t="shared" si="178"/>
        <v>Débil</v>
      </c>
      <c r="AJ267" s="211" t="str">
        <f>IFERROR(VLOOKUP((CONCATENATE(AG267,AI267)),Listados!$U$3:$V$11,2,FALSE),"")</f>
        <v/>
      </c>
      <c r="AK267" s="270">
        <f t="shared" si="179"/>
        <v>100</v>
      </c>
      <c r="AL267" s="447"/>
      <c r="AM267" s="449"/>
      <c r="AN267" s="269">
        <f>+IF(AND(Q267="Preventivo",AM265="Fuerte"),2,IF(AND(Q267="Preventivo",AM265="Moderado"),1,0))</f>
        <v>0</v>
      </c>
      <c r="AO267" s="269">
        <f t="shared" si="180"/>
        <v>0</v>
      </c>
      <c r="AP267" s="212">
        <f>+K265-AN267</f>
        <v>3</v>
      </c>
      <c r="AQ267" s="212">
        <f>+M265-AO267</f>
        <v>3</v>
      </c>
      <c r="AR267" s="433"/>
      <c r="AS267" s="433"/>
      <c r="AT267" s="433"/>
      <c r="AU267" s="433"/>
      <c r="AV267" s="594"/>
      <c r="AW267" s="594"/>
      <c r="AX267" s="597"/>
      <c r="AY267" s="597"/>
      <c r="AZ267" s="594"/>
      <c r="BA267" s="594"/>
      <c r="BB267" s="641"/>
      <c r="BC267" s="594"/>
      <c r="BD267" s="594"/>
      <c r="BE267" s="592"/>
      <c r="BF267" s="594"/>
      <c r="BG267" s="594"/>
    </row>
    <row r="268" spans="1:59" ht="14" customHeight="1">
      <c r="A268" s="437"/>
      <c r="B268" s="439"/>
      <c r="C268" s="500"/>
      <c r="D268" s="502"/>
      <c r="E268" s="149"/>
      <c r="F268" s="149"/>
      <c r="G268" s="137"/>
      <c r="H268" s="137"/>
      <c r="I268" s="137"/>
      <c r="J268" s="495"/>
      <c r="K268" s="467"/>
      <c r="L268" s="478"/>
      <c r="M268" s="467"/>
      <c r="N268" s="497"/>
      <c r="O268" s="149"/>
      <c r="P268" s="137"/>
      <c r="Q268" s="137"/>
      <c r="R268" s="231"/>
      <c r="S268" s="208" t="str">
        <f t="shared" si="169"/>
        <v/>
      </c>
      <c r="T268" s="231"/>
      <c r="U268" s="208" t="str">
        <f t="shared" si="170"/>
        <v/>
      </c>
      <c r="V268" s="207"/>
      <c r="W268" s="208" t="str">
        <f t="shared" si="171"/>
        <v/>
      </c>
      <c r="X268" s="207"/>
      <c r="Y268" s="208" t="str">
        <f t="shared" si="172"/>
        <v/>
      </c>
      <c r="Z268" s="207"/>
      <c r="AA268" s="208" t="str">
        <f t="shared" si="173"/>
        <v/>
      </c>
      <c r="AB268" s="207"/>
      <c r="AC268" s="208" t="str">
        <f t="shared" si="174"/>
        <v/>
      </c>
      <c r="AD268" s="207"/>
      <c r="AE268" s="208" t="str">
        <f t="shared" si="175"/>
        <v/>
      </c>
      <c r="AF268" s="270" t="str">
        <f t="shared" si="176"/>
        <v/>
      </c>
      <c r="AG268" s="270" t="str">
        <f t="shared" si="177"/>
        <v/>
      </c>
      <c r="AH268" s="209"/>
      <c r="AI268" s="210" t="str">
        <f t="shared" si="178"/>
        <v>Débil</v>
      </c>
      <c r="AJ268" s="211" t="str">
        <f>IFERROR(VLOOKUP((CONCATENATE(AG268,AI268)),Listados!$U$3:$V$11,2,FALSE),"")</f>
        <v/>
      </c>
      <c r="AK268" s="270">
        <f t="shared" si="179"/>
        <v>100</v>
      </c>
      <c r="AL268" s="447"/>
      <c r="AM268" s="449"/>
      <c r="AN268" s="269">
        <f>+IF(AND(Q268="Preventivo",AM265="Fuerte"),2,IF(AND(Q268="Preventivo",AM265="Moderado"),1,0))</f>
        <v>0</v>
      </c>
      <c r="AO268" s="269">
        <f t="shared" si="180"/>
        <v>0</v>
      </c>
      <c r="AP268" s="212">
        <f>+K265-AN268</f>
        <v>3</v>
      </c>
      <c r="AQ268" s="212">
        <f>+M265-AO268</f>
        <v>3</v>
      </c>
      <c r="AR268" s="433"/>
      <c r="AS268" s="433"/>
      <c r="AT268" s="433"/>
      <c r="AU268" s="433"/>
      <c r="AV268" s="594"/>
      <c r="AW268" s="594"/>
      <c r="AX268" s="597"/>
      <c r="AY268" s="597"/>
      <c r="AZ268" s="594"/>
      <c r="BA268" s="594"/>
      <c r="BB268" s="641"/>
      <c r="BC268" s="594"/>
      <c r="BD268" s="594"/>
      <c r="BE268" s="592"/>
      <c r="BF268" s="594"/>
      <c r="BG268" s="594"/>
    </row>
    <row r="269" spans="1:59" ht="14" customHeight="1">
      <c r="A269" s="437"/>
      <c r="B269" s="439"/>
      <c r="C269" s="500"/>
      <c r="D269" s="502"/>
      <c r="E269" s="149"/>
      <c r="F269" s="149"/>
      <c r="G269" s="137"/>
      <c r="H269" s="137"/>
      <c r="I269" s="137"/>
      <c r="J269" s="495"/>
      <c r="K269" s="467"/>
      <c r="L269" s="478"/>
      <c r="M269" s="467"/>
      <c r="N269" s="497"/>
      <c r="O269" s="149"/>
      <c r="P269" s="137"/>
      <c r="Q269" s="137"/>
      <c r="R269" s="231"/>
      <c r="S269" s="208" t="str">
        <f t="shared" si="169"/>
        <v/>
      </c>
      <c r="T269" s="231"/>
      <c r="U269" s="208" t="str">
        <f t="shared" si="170"/>
        <v/>
      </c>
      <c r="V269" s="207"/>
      <c r="W269" s="208" t="str">
        <f t="shared" si="171"/>
        <v/>
      </c>
      <c r="X269" s="207"/>
      <c r="Y269" s="208" t="str">
        <f t="shared" si="172"/>
        <v/>
      </c>
      <c r="Z269" s="207"/>
      <c r="AA269" s="208" t="str">
        <f t="shared" si="173"/>
        <v/>
      </c>
      <c r="AB269" s="207"/>
      <c r="AC269" s="208" t="str">
        <f t="shared" si="174"/>
        <v/>
      </c>
      <c r="AD269" s="207"/>
      <c r="AE269" s="208" t="str">
        <f t="shared" si="175"/>
        <v/>
      </c>
      <c r="AF269" s="270" t="str">
        <f t="shared" si="176"/>
        <v/>
      </c>
      <c r="AG269" s="270" t="str">
        <f t="shared" si="177"/>
        <v/>
      </c>
      <c r="AH269" s="209"/>
      <c r="AI269" s="210" t="str">
        <f t="shared" si="178"/>
        <v>Débil</v>
      </c>
      <c r="AJ269" s="211" t="str">
        <f>IFERROR(VLOOKUP((CONCATENATE(AG269,AI269)),Listados!$U$3:$V$11,2,FALSE),"")</f>
        <v/>
      </c>
      <c r="AK269" s="270">
        <f t="shared" si="179"/>
        <v>100</v>
      </c>
      <c r="AL269" s="447"/>
      <c r="AM269" s="449"/>
      <c r="AN269" s="269">
        <f>+IF(AND(Q269="Preventivo",AM265="Fuerte"),2,IF(AND(Q269="Preventivo",AM265="Moderado"),1,0))</f>
        <v>0</v>
      </c>
      <c r="AO269" s="269">
        <f t="shared" si="180"/>
        <v>0</v>
      </c>
      <c r="AP269" s="212">
        <f>+K265-AN269</f>
        <v>3</v>
      </c>
      <c r="AQ269" s="212">
        <f>+M265-AO269</f>
        <v>3</v>
      </c>
      <c r="AR269" s="433"/>
      <c r="AS269" s="433"/>
      <c r="AT269" s="433"/>
      <c r="AU269" s="433"/>
      <c r="AV269" s="594"/>
      <c r="AW269" s="594"/>
      <c r="AX269" s="597"/>
      <c r="AY269" s="597"/>
      <c r="AZ269" s="594"/>
      <c r="BA269" s="594"/>
      <c r="BB269" s="641"/>
      <c r="BC269" s="594"/>
      <c r="BD269" s="594"/>
      <c r="BE269" s="592"/>
      <c r="BF269" s="594"/>
      <c r="BG269" s="594"/>
    </row>
    <row r="270" spans="1:59" ht="14.5" customHeight="1" thickBot="1">
      <c r="A270" s="438"/>
      <c r="B270" s="498"/>
      <c r="C270" s="501"/>
      <c r="D270" s="503"/>
      <c r="E270" s="262"/>
      <c r="F270" s="262"/>
      <c r="G270" s="260"/>
      <c r="H270" s="260"/>
      <c r="I270" s="260"/>
      <c r="J270" s="495"/>
      <c r="K270" s="468"/>
      <c r="L270" s="478"/>
      <c r="M270" s="468"/>
      <c r="N270" s="497"/>
      <c r="O270" s="149"/>
      <c r="P270" s="137"/>
      <c r="Q270" s="137"/>
      <c r="R270" s="231"/>
      <c r="S270" s="208" t="str">
        <f t="shared" si="169"/>
        <v/>
      </c>
      <c r="T270" s="231"/>
      <c r="U270" s="208" t="str">
        <f t="shared" si="170"/>
        <v/>
      </c>
      <c r="V270" s="207"/>
      <c r="W270" s="208" t="str">
        <f t="shared" si="171"/>
        <v/>
      </c>
      <c r="X270" s="207"/>
      <c r="Y270" s="208" t="str">
        <f t="shared" si="172"/>
        <v/>
      </c>
      <c r="Z270" s="207"/>
      <c r="AA270" s="208" t="str">
        <f t="shared" si="173"/>
        <v/>
      </c>
      <c r="AB270" s="207"/>
      <c r="AC270" s="208" t="str">
        <f t="shared" si="174"/>
        <v/>
      </c>
      <c r="AD270" s="207"/>
      <c r="AE270" s="208" t="str">
        <f t="shared" si="175"/>
        <v/>
      </c>
      <c r="AF270" s="270" t="str">
        <f t="shared" si="176"/>
        <v/>
      </c>
      <c r="AG270" s="270" t="str">
        <f t="shared" si="177"/>
        <v/>
      </c>
      <c r="AH270" s="209"/>
      <c r="AI270" s="210" t="str">
        <f t="shared" si="178"/>
        <v>Débil</v>
      </c>
      <c r="AJ270" s="211" t="str">
        <f>IFERROR(VLOOKUP((CONCATENATE(AG270,AI270)),Listados!$U$3:$V$11,2,FALSE),"")</f>
        <v/>
      </c>
      <c r="AK270" s="270">
        <f t="shared" si="179"/>
        <v>100</v>
      </c>
      <c r="AL270" s="448"/>
      <c r="AM270" s="449"/>
      <c r="AN270" s="269">
        <f>+IF(AND(Q270="Preventivo",AM265="Fuerte"),2,IF(AND(Q270="Preventivo",AM265="Moderado"),1,0))</f>
        <v>0</v>
      </c>
      <c r="AO270" s="269">
        <f t="shared" si="180"/>
        <v>0</v>
      </c>
      <c r="AP270" s="212">
        <f>+K265-AN270</f>
        <v>3</v>
      </c>
      <c r="AQ270" s="212">
        <f>+M265-AO270</f>
        <v>3</v>
      </c>
      <c r="AR270" s="434"/>
      <c r="AS270" s="434"/>
      <c r="AT270" s="434"/>
      <c r="AU270" s="434"/>
      <c r="AV270" s="595"/>
      <c r="AW270" s="595"/>
      <c r="AX270" s="598"/>
      <c r="AY270" s="598"/>
      <c r="AZ270" s="595"/>
      <c r="BA270" s="595"/>
      <c r="BB270" s="642"/>
      <c r="BC270" s="595"/>
      <c r="BD270" s="595"/>
      <c r="BE270" s="592"/>
      <c r="BF270" s="595"/>
      <c r="BG270" s="595"/>
    </row>
    <row r="271" spans="1:59" ht="98">
      <c r="A271" s="436">
        <v>46</v>
      </c>
      <c r="B271" s="480" t="s">
        <v>83</v>
      </c>
      <c r="C271" s="486" t="str">
        <f>IFERROR(VLOOKUP(B271,Listados!B$3:C$20,2,FALSE),"")</f>
        <v>Fijar los lineamientos, parámetros y actividades requeridas para garantizar la gestión de los servicios administrativos, logísticos y la administración de los bienes necesario para la operación del Ministerio de Justicia y del Derecho.</v>
      </c>
      <c r="D271" s="487" t="s">
        <v>1335</v>
      </c>
      <c r="E271" s="247" t="s">
        <v>29</v>
      </c>
      <c r="F271" s="247" t="s">
        <v>189</v>
      </c>
      <c r="G271" s="254" t="s">
        <v>451</v>
      </c>
      <c r="H271" s="229" t="s">
        <v>16</v>
      </c>
      <c r="I271" s="251" t="s">
        <v>1326</v>
      </c>
      <c r="J271" s="471" t="s">
        <v>21</v>
      </c>
      <c r="K271" s="466">
        <f>+VLOOKUP(J271,Listados!$K$8:$L$12,2,0)</f>
        <v>1</v>
      </c>
      <c r="L271" s="477" t="s">
        <v>54</v>
      </c>
      <c r="M271" s="466">
        <f>+VLOOKUP(L271,Listados!$K$13:$L$17,2,0)</f>
        <v>4</v>
      </c>
      <c r="N271" s="434" t="str">
        <f>IF(AND(J271&lt;&gt;"",L271&lt;&gt;""),VLOOKUP(J271&amp;L271,Listados!$M$3:$N$27,2,FALSE),"")</f>
        <v>Alto</v>
      </c>
      <c r="O271" s="297" t="s">
        <v>1328</v>
      </c>
      <c r="P271" s="156" t="s">
        <v>451</v>
      </c>
      <c r="Q271" s="157" t="s">
        <v>123</v>
      </c>
      <c r="R271" s="207" t="s">
        <v>116</v>
      </c>
      <c r="S271" s="208">
        <f t="shared" si="169"/>
        <v>15</v>
      </c>
      <c r="T271" s="207" t="s">
        <v>257</v>
      </c>
      <c r="U271" s="208">
        <f t="shared" si="170"/>
        <v>15</v>
      </c>
      <c r="V271" s="207" t="s">
        <v>257</v>
      </c>
      <c r="W271" s="208">
        <f t="shared" si="171"/>
        <v>15</v>
      </c>
      <c r="X271" s="207" t="s">
        <v>20</v>
      </c>
      <c r="Y271" s="208">
        <f t="shared" si="172"/>
        <v>15</v>
      </c>
      <c r="Z271" s="207" t="s">
        <v>257</v>
      </c>
      <c r="AA271" s="208">
        <f t="shared" si="173"/>
        <v>15</v>
      </c>
      <c r="AB271" s="207" t="s">
        <v>257</v>
      </c>
      <c r="AC271" s="208">
        <f t="shared" si="174"/>
        <v>15</v>
      </c>
      <c r="AD271" s="207" t="s">
        <v>117</v>
      </c>
      <c r="AE271" s="208">
        <f t="shared" si="175"/>
        <v>10</v>
      </c>
      <c r="AF271" s="270">
        <f t="shared" si="176"/>
        <v>100</v>
      </c>
      <c r="AG271" s="270" t="str">
        <f t="shared" si="177"/>
        <v>Fuerte</v>
      </c>
      <c r="AH271" s="209" t="s">
        <v>118</v>
      </c>
      <c r="AI271" s="210" t="str">
        <f t="shared" si="178"/>
        <v>Fuerte</v>
      </c>
      <c r="AJ271" s="211" t="str">
        <f>IFERROR(VLOOKUP((CONCATENATE(AG271,AI271)),Listados!$U$3:$V$11,2,FALSE),"")</f>
        <v>Fuerte</v>
      </c>
      <c r="AK271" s="270">
        <f t="shared" si="179"/>
        <v>100</v>
      </c>
      <c r="AL271" s="446">
        <f>AVERAGE(AK271:AK276)</f>
        <v>100</v>
      </c>
      <c r="AM271" s="448" t="str">
        <f>IF(AL271&lt;=50, "Débil", IF(AL271&lt;=99,"Moderado","Fuerte"))</f>
        <v>Fuerte</v>
      </c>
      <c r="AN271" s="269">
        <f>+IF(AND(Q271="Preventivo",AM271="Fuerte"),2,IF(AND(Q271="Preventivo",AM271="Moderado"),1,0))</f>
        <v>0</v>
      </c>
      <c r="AO271" s="269">
        <f t="shared" si="180"/>
        <v>0</v>
      </c>
      <c r="AP271" s="212">
        <f>+K271-AN271</f>
        <v>1</v>
      </c>
      <c r="AQ271" s="212">
        <f>+M271-AO271</f>
        <v>4</v>
      </c>
      <c r="AR271" s="435" t="str">
        <f>+VLOOKUP(MIN(AP271,AP272,AP273,AP274,AP275,AP276),Listados!$J$18:$K$24,2,TRUE)</f>
        <v>Rara Vez</v>
      </c>
      <c r="AS271" s="435" t="str">
        <f>+VLOOKUP(MIN(AQ271,AQ272,AQ273,AQ274,AQ275,AQ276),Listados!$J$27:$K$32,2,TRUE)</f>
        <v>Mayor</v>
      </c>
      <c r="AT271" s="435" t="str">
        <f>IF(AND(AR271&lt;&gt;"",AS271&lt;&gt;""),VLOOKUP(AR271&amp;AS271,Listados!$M$3:$N$27,2,FALSE),"")</f>
        <v>Alto</v>
      </c>
      <c r="AU271" s="435" t="str">
        <f>+VLOOKUP(AT271,Listados!$P$3:$Q$6,2,FALSE)</f>
        <v>Reducir el riesgo</v>
      </c>
      <c r="AV271" s="302" t="s">
        <v>1330</v>
      </c>
      <c r="AW271" s="298" t="s">
        <v>1080</v>
      </c>
      <c r="AX271" s="299">
        <v>44927</v>
      </c>
      <c r="AY271" s="299">
        <v>45291</v>
      </c>
      <c r="AZ271" s="298" t="s">
        <v>1331</v>
      </c>
      <c r="BA271" s="298" t="s">
        <v>1121</v>
      </c>
      <c r="BB271" s="637" t="s">
        <v>1483</v>
      </c>
      <c r="BC271" s="585" t="s">
        <v>1606</v>
      </c>
      <c r="BD271" s="585"/>
      <c r="BE271" s="636" t="s">
        <v>1539</v>
      </c>
      <c r="BF271" s="585" t="s">
        <v>1795</v>
      </c>
      <c r="BG271" s="585"/>
    </row>
    <row r="272" spans="1:59" ht="57" customHeight="1">
      <c r="A272" s="437"/>
      <c r="B272" s="483"/>
      <c r="C272" s="441"/>
      <c r="D272" s="488"/>
      <c r="E272" s="217"/>
      <c r="F272" s="217"/>
      <c r="G272" s="268" t="s">
        <v>452</v>
      </c>
      <c r="H272" s="265" t="s">
        <v>16</v>
      </c>
      <c r="I272" s="456" t="s">
        <v>1327</v>
      </c>
      <c r="J272" s="472"/>
      <c r="K272" s="467"/>
      <c r="L272" s="478"/>
      <c r="M272" s="467"/>
      <c r="N272" s="470"/>
      <c r="O272" s="458" t="s">
        <v>1329</v>
      </c>
      <c r="P272" s="156" t="s">
        <v>452</v>
      </c>
      <c r="Q272" s="157" t="s">
        <v>20</v>
      </c>
      <c r="R272" s="207" t="s">
        <v>116</v>
      </c>
      <c r="S272" s="208">
        <f t="shared" si="169"/>
        <v>15</v>
      </c>
      <c r="T272" s="207" t="s">
        <v>257</v>
      </c>
      <c r="U272" s="208">
        <f t="shared" si="170"/>
        <v>15</v>
      </c>
      <c r="V272" s="207" t="s">
        <v>257</v>
      </c>
      <c r="W272" s="208">
        <f t="shared" si="171"/>
        <v>15</v>
      </c>
      <c r="X272" s="207" t="s">
        <v>20</v>
      </c>
      <c r="Y272" s="208">
        <f t="shared" si="172"/>
        <v>15</v>
      </c>
      <c r="Z272" s="207" t="s">
        <v>257</v>
      </c>
      <c r="AA272" s="208">
        <f t="shared" si="173"/>
        <v>15</v>
      </c>
      <c r="AB272" s="207" t="s">
        <v>257</v>
      </c>
      <c r="AC272" s="208">
        <f t="shared" si="174"/>
        <v>15</v>
      </c>
      <c r="AD272" s="207" t="s">
        <v>117</v>
      </c>
      <c r="AE272" s="208">
        <f t="shared" si="175"/>
        <v>10</v>
      </c>
      <c r="AF272" s="270">
        <f t="shared" si="176"/>
        <v>100</v>
      </c>
      <c r="AG272" s="270" t="str">
        <f t="shared" si="177"/>
        <v>Fuerte</v>
      </c>
      <c r="AH272" s="209" t="s">
        <v>118</v>
      </c>
      <c r="AI272" s="210" t="str">
        <f t="shared" si="178"/>
        <v>Fuerte</v>
      </c>
      <c r="AJ272" s="211" t="str">
        <f>IFERROR(VLOOKUP((CONCATENATE(AG272,AI272)),Listados!$U$3:$V$11,2,FALSE),"")</f>
        <v>Fuerte</v>
      </c>
      <c r="AK272" s="270">
        <f t="shared" si="179"/>
        <v>100</v>
      </c>
      <c r="AL272" s="447"/>
      <c r="AM272" s="449"/>
      <c r="AN272" s="269">
        <f>+IF(AND(Q272="Preventivo",AM271="Fuerte"),2,IF(AND(Q272="Preventivo",AM271="Moderado"),1,0))</f>
        <v>2</v>
      </c>
      <c r="AO272" s="269">
        <f t="shared" si="180"/>
        <v>0</v>
      </c>
      <c r="AP272" s="212">
        <f>+K271-AN272</f>
        <v>-1</v>
      </c>
      <c r="AQ272" s="212">
        <f>+M271-AO272</f>
        <v>4</v>
      </c>
      <c r="AR272" s="433"/>
      <c r="AS272" s="433"/>
      <c r="AT272" s="433"/>
      <c r="AU272" s="433"/>
      <c r="AV272" s="460" t="s">
        <v>1332</v>
      </c>
      <c r="AW272" s="462" t="s">
        <v>1080</v>
      </c>
      <c r="AX272" s="464">
        <v>44927</v>
      </c>
      <c r="AY272" s="464">
        <v>45291</v>
      </c>
      <c r="AZ272" s="462" t="s">
        <v>1331</v>
      </c>
      <c r="BA272" s="462" t="s">
        <v>1333</v>
      </c>
      <c r="BB272" s="590"/>
      <c r="BC272" s="562"/>
      <c r="BD272" s="562"/>
      <c r="BE272" s="594"/>
      <c r="BF272" s="562"/>
      <c r="BG272" s="562"/>
    </row>
    <row r="273" spans="1:59" ht="90" customHeight="1">
      <c r="A273" s="437"/>
      <c r="B273" s="483"/>
      <c r="C273" s="441"/>
      <c r="D273" s="444"/>
      <c r="E273" s="218"/>
      <c r="F273" s="218"/>
      <c r="G273" s="294" t="s">
        <v>1325</v>
      </c>
      <c r="H273" s="137"/>
      <c r="I273" s="457"/>
      <c r="J273" s="472"/>
      <c r="K273" s="467"/>
      <c r="L273" s="478"/>
      <c r="M273" s="467"/>
      <c r="N273" s="470"/>
      <c r="O273" s="459"/>
      <c r="P273" s="231"/>
      <c r="Q273" s="231"/>
      <c r="R273" s="231"/>
      <c r="S273" s="208" t="str">
        <f t="shared" si="169"/>
        <v/>
      </c>
      <c r="T273" s="231"/>
      <c r="U273" s="208" t="str">
        <f t="shared" si="170"/>
        <v/>
      </c>
      <c r="V273" s="207"/>
      <c r="W273" s="208" t="str">
        <f t="shared" si="171"/>
        <v/>
      </c>
      <c r="X273" s="207"/>
      <c r="Y273" s="208" t="str">
        <f t="shared" si="172"/>
        <v/>
      </c>
      <c r="Z273" s="207"/>
      <c r="AA273" s="208" t="str">
        <f t="shared" si="173"/>
        <v/>
      </c>
      <c r="AB273" s="207"/>
      <c r="AC273" s="208" t="str">
        <f t="shared" si="174"/>
        <v/>
      </c>
      <c r="AD273" s="207"/>
      <c r="AE273" s="208" t="str">
        <f t="shared" si="175"/>
        <v/>
      </c>
      <c r="AF273" s="270" t="str">
        <f t="shared" si="176"/>
        <v/>
      </c>
      <c r="AG273" s="270" t="str">
        <f t="shared" si="177"/>
        <v/>
      </c>
      <c r="AH273" s="209"/>
      <c r="AI273" s="210" t="str">
        <f t="shared" si="178"/>
        <v>Débil</v>
      </c>
      <c r="AJ273" s="211" t="str">
        <f>IFERROR(VLOOKUP((CONCATENATE(AG273,AI273)),Listados!$U$3:$V$11,2,FALSE),"")</f>
        <v/>
      </c>
      <c r="AK273" s="270">
        <f t="shared" si="179"/>
        <v>100</v>
      </c>
      <c r="AL273" s="447"/>
      <c r="AM273" s="449"/>
      <c r="AN273" s="269">
        <f>+IF(AND(Q273="Preventivo",AM271="Fuerte"),2,IF(AND(Q273="Preventivo",AM271="Moderado"),1,0))</f>
        <v>0</v>
      </c>
      <c r="AO273" s="269">
        <f t="shared" si="180"/>
        <v>0</v>
      </c>
      <c r="AP273" s="212">
        <f>+K271-AN273</f>
        <v>1</v>
      </c>
      <c r="AQ273" s="212">
        <f>+M271-AO273</f>
        <v>4</v>
      </c>
      <c r="AR273" s="433"/>
      <c r="AS273" s="433"/>
      <c r="AT273" s="433"/>
      <c r="AU273" s="433"/>
      <c r="AV273" s="461"/>
      <c r="AW273" s="463"/>
      <c r="AX273" s="465"/>
      <c r="AY273" s="465"/>
      <c r="AZ273" s="463"/>
      <c r="BA273" s="463"/>
      <c r="BB273" s="590"/>
      <c r="BC273" s="562"/>
      <c r="BD273" s="562"/>
      <c r="BE273" s="594"/>
      <c r="BF273" s="562"/>
      <c r="BG273" s="562"/>
    </row>
    <row r="274" spans="1:59" ht="28">
      <c r="A274" s="437"/>
      <c r="B274" s="483"/>
      <c r="C274" s="441"/>
      <c r="D274" s="444"/>
      <c r="E274" s="218"/>
      <c r="F274" s="218"/>
      <c r="G274" s="303" t="s">
        <v>1334</v>
      </c>
      <c r="H274" s="216"/>
      <c r="I274" s="216"/>
      <c r="J274" s="472"/>
      <c r="K274" s="467"/>
      <c r="L274" s="478"/>
      <c r="M274" s="467"/>
      <c r="N274" s="470"/>
      <c r="O274" s="213"/>
      <c r="P274" s="231"/>
      <c r="Q274" s="231"/>
      <c r="R274" s="231"/>
      <c r="S274" s="208" t="str">
        <f t="shared" si="169"/>
        <v/>
      </c>
      <c r="T274" s="231"/>
      <c r="U274" s="208" t="str">
        <f t="shared" si="170"/>
        <v/>
      </c>
      <c r="V274" s="207"/>
      <c r="W274" s="208" t="str">
        <f t="shared" si="171"/>
        <v/>
      </c>
      <c r="X274" s="207"/>
      <c r="Y274" s="208" t="str">
        <f t="shared" si="172"/>
        <v/>
      </c>
      <c r="Z274" s="207"/>
      <c r="AA274" s="208" t="str">
        <f t="shared" si="173"/>
        <v/>
      </c>
      <c r="AB274" s="207"/>
      <c r="AC274" s="208" t="str">
        <f t="shared" si="174"/>
        <v/>
      </c>
      <c r="AD274" s="207"/>
      <c r="AE274" s="208" t="str">
        <f t="shared" si="175"/>
        <v/>
      </c>
      <c r="AF274" s="270" t="str">
        <f t="shared" si="176"/>
        <v/>
      </c>
      <c r="AG274" s="270" t="str">
        <f t="shared" si="177"/>
        <v/>
      </c>
      <c r="AH274" s="209"/>
      <c r="AI274" s="210" t="str">
        <f t="shared" si="178"/>
        <v>Débil</v>
      </c>
      <c r="AJ274" s="211" t="str">
        <f>IFERROR(VLOOKUP((CONCATENATE(AG274,AI274)),Listados!$U$3:$V$11,2,FALSE),"")</f>
        <v/>
      </c>
      <c r="AK274" s="270">
        <f t="shared" si="179"/>
        <v>100</v>
      </c>
      <c r="AL274" s="447"/>
      <c r="AM274" s="449"/>
      <c r="AN274" s="269">
        <f>+IF(AND(Q274="Preventivo",AM271="Fuerte"),2,IF(AND(Q274="Preventivo",AM271="Moderado"),1,0))</f>
        <v>0</v>
      </c>
      <c r="AO274" s="269">
        <f t="shared" si="180"/>
        <v>0</v>
      </c>
      <c r="AP274" s="212">
        <f>+K271-AN274</f>
        <v>1</v>
      </c>
      <c r="AQ274" s="212">
        <f>+M271-AO274</f>
        <v>4</v>
      </c>
      <c r="AR274" s="433"/>
      <c r="AS274" s="433"/>
      <c r="AT274" s="433"/>
      <c r="AU274" s="433"/>
      <c r="AV274" s="292"/>
      <c r="AW274" s="292"/>
      <c r="AX274" s="300"/>
      <c r="AY274" s="300"/>
      <c r="AZ274" s="292"/>
      <c r="BA274" s="292"/>
      <c r="BB274" s="590"/>
      <c r="BC274" s="562"/>
      <c r="BD274" s="562"/>
      <c r="BE274" s="594"/>
      <c r="BF274" s="562"/>
      <c r="BG274" s="562"/>
    </row>
    <row r="275" spans="1:59" ht="14.5">
      <c r="A275" s="437"/>
      <c r="B275" s="483"/>
      <c r="C275" s="441"/>
      <c r="D275" s="444"/>
      <c r="E275" s="220"/>
      <c r="F275" s="220"/>
      <c r="G275" s="304"/>
      <c r="H275" s="222"/>
      <c r="I275" s="216"/>
      <c r="J275" s="472"/>
      <c r="K275" s="467"/>
      <c r="L275" s="478"/>
      <c r="M275" s="467"/>
      <c r="N275" s="470"/>
      <c r="O275" s="213"/>
      <c r="P275" s="231"/>
      <c r="Q275" s="231"/>
      <c r="R275" s="231"/>
      <c r="S275" s="208" t="str">
        <f t="shared" si="169"/>
        <v/>
      </c>
      <c r="T275" s="231"/>
      <c r="U275" s="208" t="str">
        <f t="shared" si="170"/>
        <v/>
      </c>
      <c r="V275" s="207"/>
      <c r="W275" s="208" t="str">
        <f t="shared" si="171"/>
        <v/>
      </c>
      <c r="X275" s="207"/>
      <c r="Y275" s="208" t="str">
        <f t="shared" si="172"/>
        <v/>
      </c>
      <c r="Z275" s="207"/>
      <c r="AA275" s="208" t="str">
        <f t="shared" si="173"/>
        <v/>
      </c>
      <c r="AB275" s="207"/>
      <c r="AC275" s="208" t="str">
        <f t="shared" si="174"/>
        <v/>
      </c>
      <c r="AD275" s="207"/>
      <c r="AE275" s="208" t="str">
        <f t="shared" si="175"/>
        <v/>
      </c>
      <c r="AF275" s="270" t="str">
        <f t="shared" si="176"/>
        <v/>
      </c>
      <c r="AG275" s="270" t="str">
        <f t="shared" si="177"/>
        <v/>
      </c>
      <c r="AH275" s="209"/>
      <c r="AI275" s="210" t="str">
        <f t="shared" si="178"/>
        <v>Débil</v>
      </c>
      <c r="AJ275" s="211" t="str">
        <f>IFERROR(VLOOKUP((CONCATENATE(AG275,AI275)),Listados!$U$3:$V$11,2,FALSE),"")</f>
        <v/>
      </c>
      <c r="AK275" s="270">
        <f t="shared" si="179"/>
        <v>100</v>
      </c>
      <c r="AL275" s="447"/>
      <c r="AM275" s="449"/>
      <c r="AN275" s="269">
        <f>+IF(AND(Q275="Preventivo",AM271="Fuerte"),2,IF(AND(Q275="Preventivo",AM271="Moderado"),1,0))</f>
        <v>0</v>
      </c>
      <c r="AO275" s="269">
        <f t="shared" si="180"/>
        <v>0</v>
      </c>
      <c r="AP275" s="212">
        <f>+K271-AN275</f>
        <v>1</v>
      </c>
      <c r="AQ275" s="212">
        <f>+M271-AO275</f>
        <v>4</v>
      </c>
      <c r="AR275" s="433"/>
      <c r="AS275" s="433"/>
      <c r="AT275" s="433"/>
      <c r="AU275" s="433"/>
      <c r="AV275" s="292"/>
      <c r="AW275" s="292"/>
      <c r="AX275" s="300"/>
      <c r="AY275" s="300"/>
      <c r="AZ275" s="292"/>
      <c r="BA275" s="292"/>
      <c r="BB275" s="590"/>
      <c r="BC275" s="562"/>
      <c r="BD275" s="562"/>
      <c r="BE275" s="594"/>
      <c r="BF275" s="562"/>
      <c r="BG275" s="562"/>
    </row>
    <row r="276" spans="1:59" ht="15" thickBot="1">
      <c r="A276" s="438"/>
      <c r="B276" s="483"/>
      <c r="C276" s="441"/>
      <c r="D276" s="494"/>
      <c r="E276" s="263"/>
      <c r="F276" s="263"/>
      <c r="G276" s="305"/>
      <c r="H276" s="261"/>
      <c r="I276" s="261"/>
      <c r="J276" s="472"/>
      <c r="K276" s="468"/>
      <c r="L276" s="478"/>
      <c r="M276" s="468"/>
      <c r="N276" s="470"/>
      <c r="O276" s="213"/>
      <c r="P276" s="231"/>
      <c r="Q276" s="231"/>
      <c r="R276" s="231"/>
      <c r="S276" s="208" t="str">
        <f t="shared" si="169"/>
        <v/>
      </c>
      <c r="T276" s="231"/>
      <c r="U276" s="208" t="str">
        <f t="shared" si="170"/>
        <v/>
      </c>
      <c r="V276" s="207"/>
      <c r="W276" s="208" t="str">
        <f t="shared" si="171"/>
        <v/>
      </c>
      <c r="X276" s="207"/>
      <c r="Y276" s="208" t="str">
        <f t="shared" si="172"/>
        <v/>
      </c>
      <c r="Z276" s="207"/>
      <c r="AA276" s="208" t="str">
        <f t="shared" si="173"/>
        <v/>
      </c>
      <c r="AB276" s="207"/>
      <c r="AC276" s="208" t="str">
        <f t="shared" si="174"/>
        <v/>
      </c>
      <c r="AD276" s="207"/>
      <c r="AE276" s="208" t="str">
        <f t="shared" si="175"/>
        <v/>
      </c>
      <c r="AF276" s="270" t="str">
        <f t="shared" si="176"/>
        <v/>
      </c>
      <c r="AG276" s="270" t="str">
        <f t="shared" si="177"/>
        <v/>
      </c>
      <c r="AH276" s="209"/>
      <c r="AI276" s="210" t="str">
        <f t="shared" si="178"/>
        <v>Débil</v>
      </c>
      <c r="AJ276" s="211" t="str">
        <f>IFERROR(VLOOKUP((CONCATENATE(AG276,AI276)),Listados!$U$3:$V$11,2,FALSE),"")</f>
        <v/>
      </c>
      <c r="AK276" s="270">
        <f t="shared" si="179"/>
        <v>100</v>
      </c>
      <c r="AL276" s="448"/>
      <c r="AM276" s="449"/>
      <c r="AN276" s="269">
        <f>+IF(AND(Q276="Preventivo",AM271="Fuerte"),2,IF(AND(Q276="Preventivo",AM271="Moderado"),1,0))</f>
        <v>0</v>
      </c>
      <c r="AO276" s="269">
        <f t="shared" si="180"/>
        <v>0</v>
      </c>
      <c r="AP276" s="212">
        <f>+K271-AN276</f>
        <v>1</v>
      </c>
      <c r="AQ276" s="212">
        <f>+M271-AO276</f>
        <v>4</v>
      </c>
      <c r="AR276" s="434"/>
      <c r="AS276" s="434"/>
      <c r="AT276" s="434"/>
      <c r="AU276" s="434"/>
      <c r="AV276" s="293"/>
      <c r="AW276" s="293"/>
      <c r="AX276" s="301"/>
      <c r="AY276" s="301"/>
      <c r="AZ276" s="293"/>
      <c r="BA276" s="293"/>
      <c r="BB276" s="591"/>
      <c r="BC276" s="563"/>
      <c r="BD276" s="563"/>
      <c r="BE276" s="595"/>
      <c r="BF276" s="563"/>
      <c r="BG276" s="563"/>
    </row>
    <row r="277" spans="1:59" ht="112">
      <c r="A277" s="436">
        <v>47</v>
      </c>
      <c r="B277" s="480" t="s">
        <v>83</v>
      </c>
      <c r="C277" s="486" t="str">
        <f>IFERROR(VLOOKUP(B277,Listados!B$3:C$20,2,FALSE),"")</f>
        <v>Fijar los lineamientos, parámetros y actividades requeridas para garantizar la gestión de los servicios administrativos, logísticos y la administración de los bienes necesario para la operación del Ministerio de Justicia y del Derecho.</v>
      </c>
      <c r="D277" s="487" t="s">
        <v>1337</v>
      </c>
      <c r="E277" s="247" t="s">
        <v>29</v>
      </c>
      <c r="F277" s="247" t="s">
        <v>189</v>
      </c>
      <c r="G277" s="229" t="s">
        <v>453</v>
      </c>
      <c r="H277" s="230" t="s">
        <v>16</v>
      </c>
      <c r="I277" s="251" t="s">
        <v>1338</v>
      </c>
      <c r="J277" s="471" t="s">
        <v>21</v>
      </c>
      <c r="K277" s="466">
        <f>+VLOOKUP(J277,Listados!$K$8:$L$12,2,0)</f>
        <v>1</v>
      </c>
      <c r="L277" s="477" t="s">
        <v>36</v>
      </c>
      <c r="M277" s="466">
        <f>+VLOOKUP(L277,Listados!$K$13:$L$17,2,0)</f>
        <v>3</v>
      </c>
      <c r="N277" s="434" t="str">
        <f>IF(AND(J277&lt;&gt;"",L277&lt;&gt;""),VLOOKUP(J277&amp;L277,Listados!$M$3:$N$27,2,FALSE),"")</f>
        <v>Moderado</v>
      </c>
      <c r="O277" s="307" t="s">
        <v>1342</v>
      </c>
      <c r="P277" s="258" t="s">
        <v>453</v>
      </c>
      <c r="Q277" s="231"/>
      <c r="R277" s="207" t="s">
        <v>116</v>
      </c>
      <c r="S277" s="208">
        <f t="shared" si="169"/>
        <v>15</v>
      </c>
      <c r="T277" s="207" t="s">
        <v>257</v>
      </c>
      <c r="U277" s="208">
        <f t="shared" si="170"/>
        <v>15</v>
      </c>
      <c r="V277" s="207" t="s">
        <v>257</v>
      </c>
      <c r="W277" s="208">
        <f t="shared" si="171"/>
        <v>15</v>
      </c>
      <c r="X277" s="207" t="s">
        <v>20</v>
      </c>
      <c r="Y277" s="208">
        <f t="shared" si="172"/>
        <v>15</v>
      </c>
      <c r="Z277" s="207" t="s">
        <v>257</v>
      </c>
      <c r="AA277" s="208">
        <f t="shared" si="173"/>
        <v>15</v>
      </c>
      <c r="AB277" s="207" t="s">
        <v>257</v>
      </c>
      <c r="AC277" s="208">
        <f t="shared" si="174"/>
        <v>15</v>
      </c>
      <c r="AD277" s="207" t="s">
        <v>117</v>
      </c>
      <c r="AE277" s="208">
        <f t="shared" si="175"/>
        <v>10</v>
      </c>
      <c r="AF277" s="270">
        <f t="shared" si="176"/>
        <v>100</v>
      </c>
      <c r="AG277" s="270" t="str">
        <f t="shared" si="177"/>
        <v>Fuerte</v>
      </c>
      <c r="AH277" s="209" t="s">
        <v>118</v>
      </c>
      <c r="AI277" s="210" t="str">
        <f t="shared" si="178"/>
        <v>Fuerte</v>
      </c>
      <c r="AJ277" s="211" t="str">
        <f>IFERROR(VLOOKUP((CONCATENATE(AG277,AI277)),Listados!$U$3:$V$11,2,FALSE),"")</f>
        <v>Fuerte</v>
      </c>
      <c r="AK277" s="270">
        <f t="shared" si="179"/>
        <v>100</v>
      </c>
      <c r="AL277" s="446">
        <f>AVERAGE(AK277:AK282)</f>
        <v>100</v>
      </c>
      <c r="AM277" s="448" t="str">
        <f>IF(AL277&lt;=50, "Débil", IF(AL277&lt;=99,"Moderado","Fuerte"))</f>
        <v>Fuerte</v>
      </c>
      <c r="AN277" s="269">
        <f>+IF(AND(Q277="Preventivo",AM277="Fuerte"),2,IF(AND(Q277="Preventivo",AM277="Moderado"),1,0))</f>
        <v>0</v>
      </c>
      <c r="AO277" s="269">
        <f t="shared" si="180"/>
        <v>0</v>
      </c>
      <c r="AP277" s="212">
        <f>+K277-AN277</f>
        <v>1</v>
      </c>
      <c r="AQ277" s="212">
        <f>+M277-AO277</f>
        <v>3</v>
      </c>
      <c r="AR277" s="435" t="str">
        <f>+VLOOKUP(MIN(AP277,AP278,AP279,AP280,AP281,AP282),Listados!$J$18:$K$24,2,TRUE)</f>
        <v>Rara Vez</v>
      </c>
      <c r="AS277" s="435" t="str">
        <f>+VLOOKUP(MIN(AQ277,AQ278,AQ279,AQ280,AQ281,AQ282),Listados!$J$27:$K$32,2,TRUE)</f>
        <v>Moderado</v>
      </c>
      <c r="AT277" s="435" t="str">
        <f>IF(AND(AR277&lt;&gt;"",AS277&lt;&gt;""),VLOOKUP(AR277&amp;AS277,Listados!$M$3:$N$27,2,FALSE),"")</f>
        <v>Moderado</v>
      </c>
      <c r="AU277" s="435" t="str">
        <f>+VLOOKUP(AT277,Listados!$P$3:$Q$6,2,FALSE)</f>
        <v xml:space="preserve"> Reducir el riesgo</v>
      </c>
      <c r="AV277" s="310" t="s">
        <v>1346</v>
      </c>
      <c r="AW277" s="311" t="s">
        <v>1080</v>
      </c>
      <c r="AX277" s="312">
        <v>44736</v>
      </c>
      <c r="AY277" s="312">
        <v>44926</v>
      </c>
      <c r="AZ277" s="313" t="s">
        <v>1347</v>
      </c>
      <c r="BA277" s="464" t="s">
        <v>1122</v>
      </c>
      <c r="BB277" s="589" t="s">
        <v>1484</v>
      </c>
      <c r="BC277" s="585" t="s">
        <v>1607</v>
      </c>
      <c r="BD277" s="585"/>
      <c r="BE277" s="592" t="s">
        <v>1545</v>
      </c>
      <c r="BF277" s="585" t="s">
        <v>1821</v>
      </c>
      <c r="BG277" s="585"/>
    </row>
    <row r="278" spans="1:59" ht="196.5" customHeight="1">
      <c r="A278" s="437"/>
      <c r="B278" s="483"/>
      <c r="C278" s="441"/>
      <c r="D278" s="488"/>
      <c r="E278" s="217"/>
      <c r="F278" s="217"/>
      <c r="G278" s="265" t="s">
        <v>454</v>
      </c>
      <c r="H278" s="266" t="s">
        <v>16</v>
      </c>
      <c r="I278" s="259" t="s">
        <v>1339</v>
      </c>
      <c r="J278" s="472"/>
      <c r="K278" s="467"/>
      <c r="L278" s="478"/>
      <c r="M278" s="467"/>
      <c r="N278" s="470"/>
      <c r="O278" s="307" t="s">
        <v>1343</v>
      </c>
      <c r="P278" s="258" t="s">
        <v>454</v>
      </c>
      <c r="Q278" s="231"/>
      <c r="R278" s="207" t="s">
        <v>116</v>
      </c>
      <c r="S278" s="208">
        <f t="shared" si="169"/>
        <v>15</v>
      </c>
      <c r="T278" s="207" t="s">
        <v>257</v>
      </c>
      <c r="U278" s="208">
        <f t="shared" si="170"/>
        <v>15</v>
      </c>
      <c r="V278" s="207" t="s">
        <v>257</v>
      </c>
      <c r="W278" s="208">
        <f t="shared" si="171"/>
        <v>15</v>
      </c>
      <c r="X278" s="207" t="s">
        <v>20</v>
      </c>
      <c r="Y278" s="208">
        <f t="shared" si="172"/>
        <v>15</v>
      </c>
      <c r="Z278" s="207" t="s">
        <v>257</v>
      </c>
      <c r="AA278" s="208">
        <f t="shared" si="173"/>
        <v>15</v>
      </c>
      <c r="AB278" s="207" t="s">
        <v>257</v>
      </c>
      <c r="AC278" s="208">
        <f t="shared" si="174"/>
        <v>15</v>
      </c>
      <c r="AD278" s="207" t="s">
        <v>117</v>
      </c>
      <c r="AE278" s="208">
        <f t="shared" si="175"/>
        <v>10</v>
      </c>
      <c r="AF278" s="270">
        <f t="shared" si="176"/>
        <v>100</v>
      </c>
      <c r="AG278" s="270" t="str">
        <f t="shared" si="177"/>
        <v>Fuerte</v>
      </c>
      <c r="AH278" s="209" t="s">
        <v>118</v>
      </c>
      <c r="AI278" s="210" t="str">
        <f t="shared" si="178"/>
        <v>Fuerte</v>
      </c>
      <c r="AJ278" s="211" t="str">
        <f>IFERROR(VLOOKUP((CONCATENATE(AG278,AI278)),Listados!$U$3:$V$11,2,FALSE),"")</f>
        <v>Fuerte</v>
      </c>
      <c r="AK278" s="270">
        <f t="shared" si="179"/>
        <v>100</v>
      </c>
      <c r="AL278" s="447"/>
      <c r="AM278" s="449"/>
      <c r="AN278" s="269">
        <f>+IF(AND(Q278="Preventivo",AM277="Fuerte"),2,IF(AND(Q278="Preventivo",AM277="Moderado"),1,0))</f>
        <v>0</v>
      </c>
      <c r="AO278" s="269">
        <f t="shared" si="180"/>
        <v>0</v>
      </c>
      <c r="AP278" s="212">
        <f>+K277-AN278</f>
        <v>1</v>
      </c>
      <c r="AQ278" s="212">
        <f>+M277-AO278</f>
        <v>3</v>
      </c>
      <c r="AR278" s="433"/>
      <c r="AS278" s="433"/>
      <c r="AT278" s="433"/>
      <c r="AU278" s="433"/>
      <c r="AV278" s="310" t="s">
        <v>1348</v>
      </c>
      <c r="AW278" s="675" t="s">
        <v>1080</v>
      </c>
      <c r="AX278" s="676">
        <v>44736</v>
      </c>
      <c r="AY278" s="676">
        <v>44926</v>
      </c>
      <c r="AZ278" s="313" t="s">
        <v>1347</v>
      </c>
      <c r="BA278" s="644"/>
      <c r="BB278" s="590"/>
      <c r="BC278" s="562"/>
      <c r="BD278" s="562"/>
      <c r="BE278" s="562"/>
      <c r="BF278" s="562"/>
      <c r="BG278" s="562"/>
    </row>
    <row r="279" spans="1:59" ht="84">
      <c r="A279" s="437"/>
      <c r="B279" s="483"/>
      <c r="C279" s="441"/>
      <c r="D279" s="444"/>
      <c r="E279" s="218"/>
      <c r="F279" s="218"/>
      <c r="G279" s="137" t="s">
        <v>455</v>
      </c>
      <c r="H279" s="216" t="s">
        <v>16</v>
      </c>
      <c r="I279" s="251" t="s">
        <v>1340</v>
      </c>
      <c r="J279" s="472"/>
      <c r="K279" s="467"/>
      <c r="L279" s="478"/>
      <c r="M279" s="467"/>
      <c r="N279" s="470"/>
      <c r="O279" s="307" t="s">
        <v>1344</v>
      </c>
      <c r="P279" s="258" t="s">
        <v>455</v>
      </c>
      <c r="Q279" s="231"/>
      <c r="R279" s="207" t="s">
        <v>116</v>
      </c>
      <c r="S279" s="208">
        <f t="shared" si="169"/>
        <v>15</v>
      </c>
      <c r="T279" s="207" t="s">
        <v>257</v>
      </c>
      <c r="U279" s="208">
        <f t="shared" si="170"/>
        <v>15</v>
      </c>
      <c r="V279" s="207" t="s">
        <v>257</v>
      </c>
      <c r="W279" s="208">
        <f t="shared" si="171"/>
        <v>15</v>
      </c>
      <c r="X279" s="207" t="s">
        <v>20</v>
      </c>
      <c r="Y279" s="208">
        <f t="shared" si="172"/>
        <v>15</v>
      </c>
      <c r="Z279" s="207" t="s">
        <v>257</v>
      </c>
      <c r="AA279" s="208">
        <f t="shared" si="173"/>
        <v>15</v>
      </c>
      <c r="AB279" s="207" t="s">
        <v>257</v>
      </c>
      <c r="AC279" s="208">
        <f t="shared" si="174"/>
        <v>15</v>
      </c>
      <c r="AD279" s="207" t="s">
        <v>117</v>
      </c>
      <c r="AE279" s="208">
        <f t="shared" si="175"/>
        <v>10</v>
      </c>
      <c r="AF279" s="270">
        <f t="shared" si="176"/>
        <v>100</v>
      </c>
      <c r="AG279" s="270" t="str">
        <f t="shared" si="177"/>
        <v>Fuerte</v>
      </c>
      <c r="AH279" s="209" t="s">
        <v>118</v>
      </c>
      <c r="AI279" s="210" t="str">
        <f t="shared" si="178"/>
        <v>Fuerte</v>
      </c>
      <c r="AJ279" s="211" t="str">
        <f>IFERROR(VLOOKUP((CONCATENATE(AG279,AI279)),Listados!$U$3:$V$11,2,FALSE),"")</f>
        <v>Fuerte</v>
      </c>
      <c r="AK279" s="270">
        <f t="shared" si="179"/>
        <v>100</v>
      </c>
      <c r="AL279" s="447"/>
      <c r="AM279" s="449"/>
      <c r="AN279" s="269">
        <f>+IF(AND(Q279="Preventivo",AM277="Fuerte"),2,IF(AND(Q279="Preventivo",AM277="Moderado"),1,0))</f>
        <v>0</v>
      </c>
      <c r="AO279" s="269">
        <f t="shared" si="180"/>
        <v>0</v>
      </c>
      <c r="AP279" s="212">
        <f>+K277-AN279</f>
        <v>1</v>
      </c>
      <c r="AQ279" s="212">
        <f>+M277-AO279</f>
        <v>3</v>
      </c>
      <c r="AR279" s="433"/>
      <c r="AS279" s="433"/>
      <c r="AT279" s="433"/>
      <c r="AU279" s="433"/>
      <c r="AV279" s="310" t="s">
        <v>1349</v>
      </c>
      <c r="AW279" s="675"/>
      <c r="AX279" s="675"/>
      <c r="AY279" s="675"/>
      <c r="AZ279" s="313" t="s">
        <v>1347</v>
      </c>
      <c r="BA279" s="465"/>
      <c r="BB279" s="590"/>
      <c r="BC279" s="562"/>
      <c r="BD279" s="562"/>
      <c r="BE279" s="562"/>
      <c r="BF279" s="562"/>
      <c r="BG279" s="562"/>
    </row>
    <row r="280" spans="1:59" ht="42">
      <c r="A280" s="437"/>
      <c r="B280" s="483"/>
      <c r="C280" s="441"/>
      <c r="D280" s="444"/>
      <c r="E280" s="218"/>
      <c r="F280" s="218"/>
      <c r="G280" s="219" t="s">
        <v>1336</v>
      </c>
      <c r="H280" s="216" t="s">
        <v>16</v>
      </c>
      <c r="I280" s="306" t="s">
        <v>1341</v>
      </c>
      <c r="J280" s="472"/>
      <c r="K280" s="467"/>
      <c r="L280" s="478"/>
      <c r="M280" s="467"/>
      <c r="N280" s="470"/>
      <c r="O280" s="308" t="s">
        <v>1345</v>
      </c>
      <c r="P280" s="231"/>
      <c r="Q280" s="231"/>
      <c r="R280" s="231"/>
      <c r="S280" s="208" t="str">
        <f t="shared" si="169"/>
        <v/>
      </c>
      <c r="T280" s="231"/>
      <c r="U280" s="208" t="str">
        <f t="shared" si="170"/>
        <v/>
      </c>
      <c r="V280" s="207"/>
      <c r="W280" s="208" t="str">
        <f t="shared" si="171"/>
        <v/>
      </c>
      <c r="X280" s="207"/>
      <c r="Y280" s="208" t="str">
        <f t="shared" si="172"/>
        <v/>
      </c>
      <c r="Z280" s="207"/>
      <c r="AA280" s="208" t="str">
        <f t="shared" si="173"/>
        <v/>
      </c>
      <c r="AB280" s="207"/>
      <c r="AC280" s="208" t="str">
        <f t="shared" si="174"/>
        <v/>
      </c>
      <c r="AD280" s="207"/>
      <c r="AE280" s="208" t="str">
        <f t="shared" si="175"/>
        <v/>
      </c>
      <c r="AF280" s="270" t="str">
        <f t="shared" si="176"/>
        <v/>
      </c>
      <c r="AG280" s="270" t="str">
        <f t="shared" si="177"/>
        <v/>
      </c>
      <c r="AH280" s="209"/>
      <c r="AI280" s="210" t="str">
        <f t="shared" si="178"/>
        <v>Débil</v>
      </c>
      <c r="AJ280" s="211" t="str">
        <f>IFERROR(VLOOKUP((CONCATENATE(AG280,AI280)),Listados!$U$3:$V$11,2,FALSE),"")</f>
        <v/>
      </c>
      <c r="AK280" s="270">
        <f t="shared" si="179"/>
        <v>100</v>
      </c>
      <c r="AL280" s="447"/>
      <c r="AM280" s="449"/>
      <c r="AN280" s="269">
        <f>+IF(AND(Q280="Preventivo",AM277="Fuerte"),2,IF(AND(Q280="Preventivo",AM277="Moderado"),1,0))</f>
        <v>0</v>
      </c>
      <c r="AO280" s="269">
        <f t="shared" si="180"/>
        <v>0</v>
      </c>
      <c r="AP280" s="212">
        <f>+K277-AN280</f>
        <v>1</v>
      </c>
      <c r="AQ280" s="212">
        <f>+M277-AO280</f>
        <v>3</v>
      </c>
      <c r="AR280" s="433"/>
      <c r="AS280" s="433"/>
      <c r="AT280" s="433"/>
      <c r="AU280" s="433"/>
      <c r="AV280" s="310" t="s">
        <v>1350</v>
      </c>
      <c r="AW280" s="311" t="s">
        <v>1240</v>
      </c>
      <c r="AX280" s="312">
        <v>44927</v>
      </c>
      <c r="AY280" s="312">
        <v>45291</v>
      </c>
      <c r="AZ280" s="313" t="s">
        <v>1347</v>
      </c>
      <c r="BA280" s="312" t="s">
        <v>1351</v>
      </c>
      <c r="BB280" s="590"/>
      <c r="BC280" s="562"/>
      <c r="BD280" s="562"/>
      <c r="BE280" s="562"/>
      <c r="BF280" s="562"/>
      <c r="BG280" s="562"/>
    </row>
    <row r="281" spans="1:59" ht="14.5">
      <c r="A281" s="437"/>
      <c r="B281" s="483"/>
      <c r="C281" s="441"/>
      <c r="D281" s="444"/>
      <c r="E281" s="220"/>
      <c r="F281" s="220"/>
      <c r="G281" s="221"/>
      <c r="H281" s="222"/>
      <c r="I281" s="216"/>
      <c r="J281" s="472"/>
      <c r="K281" s="467"/>
      <c r="L281" s="478"/>
      <c r="M281" s="467"/>
      <c r="N281" s="470"/>
      <c r="O281" s="213"/>
      <c r="P281" s="231"/>
      <c r="Q281" s="231"/>
      <c r="R281" s="231"/>
      <c r="S281" s="208" t="str">
        <f t="shared" si="169"/>
        <v/>
      </c>
      <c r="T281" s="231"/>
      <c r="U281" s="208" t="str">
        <f t="shared" si="170"/>
        <v/>
      </c>
      <c r="V281" s="207"/>
      <c r="W281" s="208" t="str">
        <f t="shared" si="171"/>
        <v/>
      </c>
      <c r="X281" s="207"/>
      <c r="Y281" s="208" t="str">
        <f t="shared" si="172"/>
        <v/>
      </c>
      <c r="Z281" s="207"/>
      <c r="AA281" s="208" t="str">
        <f t="shared" si="173"/>
        <v/>
      </c>
      <c r="AB281" s="207"/>
      <c r="AC281" s="208" t="str">
        <f t="shared" si="174"/>
        <v/>
      </c>
      <c r="AD281" s="207"/>
      <c r="AE281" s="208" t="str">
        <f t="shared" si="175"/>
        <v/>
      </c>
      <c r="AF281" s="270" t="str">
        <f t="shared" si="176"/>
        <v/>
      </c>
      <c r="AG281" s="270" t="str">
        <f t="shared" si="177"/>
        <v/>
      </c>
      <c r="AH281" s="209"/>
      <c r="AI281" s="210" t="str">
        <f t="shared" si="178"/>
        <v>Débil</v>
      </c>
      <c r="AJ281" s="211" t="str">
        <f>IFERROR(VLOOKUP((CONCATENATE(AG281,AI281)),Listados!$U$3:$V$11,2,FALSE),"")</f>
        <v/>
      </c>
      <c r="AK281" s="270">
        <f t="shared" si="179"/>
        <v>100</v>
      </c>
      <c r="AL281" s="447"/>
      <c r="AM281" s="449"/>
      <c r="AN281" s="269">
        <f>+IF(AND(Q281="Preventivo",AM277="Fuerte"),2,IF(AND(Q281="Preventivo",AM277="Moderado"),1,0))</f>
        <v>0</v>
      </c>
      <c r="AO281" s="269">
        <f t="shared" si="180"/>
        <v>0</v>
      </c>
      <c r="AP281" s="212">
        <f>+K277-AN281</f>
        <v>1</v>
      </c>
      <c r="AQ281" s="212">
        <f>+M277-AO281</f>
        <v>3</v>
      </c>
      <c r="AR281" s="433"/>
      <c r="AS281" s="433"/>
      <c r="AT281" s="433"/>
      <c r="AU281" s="433"/>
      <c r="AV281" s="199"/>
      <c r="AW281" s="199"/>
      <c r="AX281" s="314"/>
      <c r="AY281" s="314"/>
      <c r="AZ281" s="199"/>
      <c r="BA281" s="199"/>
      <c r="BB281" s="590"/>
      <c r="BC281" s="562"/>
      <c r="BD281" s="562"/>
      <c r="BE281" s="562"/>
      <c r="BF281" s="562"/>
      <c r="BG281" s="562"/>
    </row>
    <row r="282" spans="1:59" ht="15" thickBot="1">
      <c r="A282" s="438"/>
      <c r="B282" s="483"/>
      <c r="C282" s="441"/>
      <c r="D282" s="494"/>
      <c r="E282" s="263"/>
      <c r="F282" s="263"/>
      <c r="G282" s="264"/>
      <c r="H282" s="261"/>
      <c r="I282" s="261"/>
      <c r="J282" s="472"/>
      <c r="K282" s="468"/>
      <c r="L282" s="478"/>
      <c r="M282" s="468"/>
      <c r="N282" s="470"/>
      <c r="O282" s="213"/>
      <c r="P282" s="231"/>
      <c r="Q282" s="231"/>
      <c r="R282" s="231"/>
      <c r="S282" s="208" t="str">
        <f t="shared" si="169"/>
        <v/>
      </c>
      <c r="T282" s="231"/>
      <c r="U282" s="208" t="str">
        <f t="shared" si="170"/>
        <v/>
      </c>
      <c r="V282" s="207"/>
      <c r="W282" s="208" t="str">
        <f t="shared" si="171"/>
        <v/>
      </c>
      <c r="X282" s="207"/>
      <c r="Y282" s="208" t="str">
        <f t="shared" si="172"/>
        <v/>
      </c>
      <c r="Z282" s="207"/>
      <c r="AA282" s="208" t="str">
        <f t="shared" si="173"/>
        <v/>
      </c>
      <c r="AB282" s="207"/>
      <c r="AC282" s="208" t="str">
        <f t="shared" si="174"/>
        <v/>
      </c>
      <c r="AD282" s="207"/>
      <c r="AE282" s="208" t="str">
        <f t="shared" si="175"/>
        <v/>
      </c>
      <c r="AF282" s="270" t="str">
        <f t="shared" si="176"/>
        <v/>
      </c>
      <c r="AG282" s="270" t="str">
        <f t="shared" si="177"/>
        <v/>
      </c>
      <c r="AH282" s="209"/>
      <c r="AI282" s="210" t="str">
        <f t="shared" si="178"/>
        <v>Débil</v>
      </c>
      <c r="AJ282" s="211" t="str">
        <f>IFERROR(VLOOKUP((CONCATENATE(AG282,AI282)),Listados!$U$3:$V$11,2,FALSE),"")</f>
        <v/>
      </c>
      <c r="AK282" s="270">
        <f t="shared" si="179"/>
        <v>100</v>
      </c>
      <c r="AL282" s="448"/>
      <c r="AM282" s="449"/>
      <c r="AN282" s="269">
        <f>+IF(AND(Q282="Preventivo",AM277="Fuerte"),2,IF(AND(Q282="Preventivo",AM277="Moderado"),1,0))</f>
        <v>0</v>
      </c>
      <c r="AO282" s="269">
        <f t="shared" si="180"/>
        <v>0</v>
      </c>
      <c r="AP282" s="212">
        <f>+K277-AN282</f>
        <v>1</v>
      </c>
      <c r="AQ282" s="212">
        <f>+M277-AO282</f>
        <v>3</v>
      </c>
      <c r="AR282" s="434"/>
      <c r="AS282" s="434"/>
      <c r="AT282" s="434"/>
      <c r="AU282" s="434"/>
      <c r="AV282" s="199"/>
      <c r="AW282" s="199"/>
      <c r="AX282" s="314"/>
      <c r="AY282" s="314"/>
      <c r="AZ282" s="199"/>
      <c r="BA282" s="199"/>
      <c r="BB282" s="591"/>
      <c r="BC282" s="563"/>
      <c r="BD282" s="563"/>
      <c r="BE282" s="563"/>
      <c r="BF282" s="563"/>
      <c r="BG282" s="563"/>
    </row>
    <row r="283" spans="1:59" ht="126">
      <c r="A283" s="436">
        <v>48</v>
      </c>
      <c r="B283" s="480" t="s">
        <v>83</v>
      </c>
      <c r="C283" s="486" t="str">
        <f>IFERROR(VLOOKUP(B283,Listados!B$3:C$20,2,FALSE),"")</f>
        <v>Fijar los lineamientos, parámetros y actividades requeridas para garantizar la gestión de los servicios administrativos, logísticos y la administración de los bienes necesario para la operación del Ministerio de Justicia y del Derecho.</v>
      </c>
      <c r="D283" s="487" t="s">
        <v>1352</v>
      </c>
      <c r="E283" s="247" t="s">
        <v>29</v>
      </c>
      <c r="F283" s="247" t="s">
        <v>189</v>
      </c>
      <c r="G283" s="315" t="s">
        <v>1357</v>
      </c>
      <c r="H283" s="230" t="s">
        <v>16</v>
      </c>
      <c r="I283" s="251" t="s">
        <v>456</v>
      </c>
      <c r="J283" s="471" t="s">
        <v>53</v>
      </c>
      <c r="K283" s="466">
        <f>+VLOOKUP(J283,Listados!$K$8:$L$12,2,0)</f>
        <v>4</v>
      </c>
      <c r="L283" s="477" t="s">
        <v>36</v>
      </c>
      <c r="M283" s="466">
        <f>+VLOOKUP(L283,Listados!$K$13:$L$17,2,0)</f>
        <v>3</v>
      </c>
      <c r="N283" s="434" t="str">
        <f>IF(AND(J283&lt;&gt;"",L283&lt;&gt;""),VLOOKUP(J283&amp;L283,Listados!$M$3:$N$27,2,FALSE),"")</f>
        <v>Alto</v>
      </c>
      <c r="O283" s="229" t="s">
        <v>457</v>
      </c>
      <c r="P283" s="229" t="s">
        <v>458</v>
      </c>
      <c r="Q283" s="231" t="s">
        <v>20</v>
      </c>
      <c r="R283" s="207" t="s">
        <v>116</v>
      </c>
      <c r="S283" s="208">
        <f t="shared" si="169"/>
        <v>15</v>
      </c>
      <c r="T283" s="207" t="s">
        <v>257</v>
      </c>
      <c r="U283" s="208">
        <f t="shared" si="170"/>
        <v>15</v>
      </c>
      <c r="V283" s="207" t="s">
        <v>257</v>
      </c>
      <c r="W283" s="208">
        <f t="shared" si="171"/>
        <v>15</v>
      </c>
      <c r="X283" s="207" t="s">
        <v>20</v>
      </c>
      <c r="Y283" s="208">
        <f t="shared" si="172"/>
        <v>15</v>
      </c>
      <c r="Z283" s="207" t="s">
        <v>257</v>
      </c>
      <c r="AA283" s="208">
        <f t="shared" si="173"/>
        <v>15</v>
      </c>
      <c r="AB283" s="207" t="s">
        <v>257</v>
      </c>
      <c r="AC283" s="208">
        <f t="shared" si="174"/>
        <v>15</v>
      </c>
      <c r="AD283" s="207" t="s">
        <v>117</v>
      </c>
      <c r="AE283" s="208">
        <f t="shared" si="175"/>
        <v>10</v>
      </c>
      <c r="AF283" s="270">
        <f t="shared" si="176"/>
        <v>100</v>
      </c>
      <c r="AG283" s="270" t="str">
        <f t="shared" si="177"/>
        <v>Fuerte</v>
      </c>
      <c r="AH283" s="209" t="s">
        <v>118</v>
      </c>
      <c r="AI283" s="210" t="str">
        <f t="shared" si="178"/>
        <v>Fuerte</v>
      </c>
      <c r="AJ283" s="211" t="str">
        <f>IFERROR(VLOOKUP((CONCATENATE(AG283,AI283)),Listados!$U$3:$V$11,2,FALSE),"")</f>
        <v>Fuerte</v>
      </c>
      <c r="AK283" s="270">
        <f t="shared" si="179"/>
        <v>100</v>
      </c>
      <c r="AL283" s="446">
        <f>AVERAGE(AK283:AK288)</f>
        <v>100</v>
      </c>
      <c r="AM283" s="448" t="str">
        <f>IF(AL283&lt;=50, "Débil", IF(AL283&lt;=99,"Moderado","Fuerte"))</f>
        <v>Fuerte</v>
      </c>
      <c r="AN283" s="269">
        <f>+IF(AND(Q283="Preventivo",AM283="Fuerte"),2,IF(AND(Q283="Preventivo",AM283="Moderado"),1,0))</f>
        <v>2</v>
      </c>
      <c r="AO283" s="269">
        <f t="shared" si="180"/>
        <v>0</v>
      </c>
      <c r="AP283" s="212">
        <f>+K283-AN283</f>
        <v>2</v>
      </c>
      <c r="AQ283" s="212">
        <f>+M283-AO283</f>
        <v>3</v>
      </c>
      <c r="AR283" s="435" t="str">
        <f>+VLOOKUP(MIN(AP283,AP284,AP285,AP286,AP287,AP288),Listados!$J$18:$K$24,2,TRUE)</f>
        <v>Improbable</v>
      </c>
      <c r="AS283" s="435" t="str">
        <f>+VLOOKUP(MIN(AQ283,AQ284,AQ285,AQ286,AQ287,AQ288),Listados!$J$27:$K$32,2,TRUE)</f>
        <v>Moderado</v>
      </c>
      <c r="AT283" s="435" t="str">
        <f>IF(AND(AR283&lt;&gt;"",AS283&lt;&gt;""),VLOOKUP(AR283&amp;AS283,Listados!$M$3:$N$27,2,FALSE),"")</f>
        <v>Moderado</v>
      </c>
      <c r="AU283" s="435" t="str">
        <f>+VLOOKUP(AT283,Listados!$P$3:$Q$6,2,FALSE)</f>
        <v xml:space="preserve"> Reducir el riesgo</v>
      </c>
      <c r="AV283" s="307" t="s">
        <v>1258</v>
      </c>
      <c r="AW283" s="307" t="s">
        <v>1080</v>
      </c>
      <c r="AX283" s="321">
        <v>44736</v>
      </c>
      <c r="AY283" s="322">
        <v>44926</v>
      </c>
      <c r="AZ283" s="307" t="s">
        <v>1363</v>
      </c>
      <c r="BA283" s="307" t="s">
        <v>1486</v>
      </c>
      <c r="BB283" s="589" t="s">
        <v>1487</v>
      </c>
      <c r="BC283" s="585" t="s">
        <v>1605</v>
      </c>
      <c r="BD283" s="585"/>
      <c r="BE283" s="542" t="s">
        <v>1546</v>
      </c>
      <c r="BF283" s="585" t="s">
        <v>1822</v>
      </c>
      <c r="BG283" s="585"/>
    </row>
    <row r="284" spans="1:59" ht="98">
      <c r="A284" s="437"/>
      <c r="B284" s="483"/>
      <c r="C284" s="441"/>
      <c r="D284" s="488"/>
      <c r="E284" s="217"/>
      <c r="F284" s="217"/>
      <c r="G284" s="316" t="s">
        <v>1353</v>
      </c>
      <c r="H284" s="230" t="s">
        <v>16</v>
      </c>
      <c r="I284" s="317" t="s">
        <v>1355</v>
      </c>
      <c r="J284" s="472"/>
      <c r="K284" s="467"/>
      <c r="L284" s="478"/>
      <c r="M284" s="467"/>
      <c r="N284" s="470"/>
      <c r="O284" s="229" t="s">
        <v>460</v>
      </c>
      <c r="P284" s="229" t="s">
        <v>459</v>
      </c>
      <c r="Q284" s="231" t="s">
        <v>20</v>
      </c>
      <c r="R284" s="207" t="s">
        <v>116</v>
      </c>
      <c r="S284" s="208">
        <f t="shared" si="169"/>
        <v>15</v>
      </c>
      <c r="T284" s="207" t="s">
        <v>257</v>
      </c>
      <c r="U284" s="208">
        <f t="shared" si="170"/>
        <v>15</v>
      </c>
      <c r="V284" s="207" t="s">
        <v>257</v>
      </c>
      <c r="W284" s="208">
        <f t="shared" si="171"/>
        <v>15</v>
      </c>
      <c r="X284" s="207" t="s">
        <v>20</v>
      </c>
      <c r="Y284" s="208">
        <f t="shared" si="172"/>
        <v>15</v>
      </c>
      <c r="Z284" s="207" t="s">
        <v>257</v>
      </c>
      <c r="AA284" s="208">
        <f t="shared" si="173"/>
        <v>15</v>
      </c>
      <c r="AB284" s="207" t="s">
        <v>257</v>
      </c>
      <c r="AC284" s="208">
        <f t="shared" si="174"/>
        <v>15</v>
      </c>
      <c r="AD284" s="207" t="s">
        <v>117</v>
      </c>
      <c r="AE284" s="208">
        <f t="shared" si="175"/>
        <v>10</v>
      </c>
      <c r="AF284" s="270">
        <f t="shared" si="176"/>
        <v>100</v>
      </c>
      <c r="AG284" s="270" t="str">
        <f t="shared" si="177"/>
        <v>Fuerte</v>
      </c>
      <c r="AH284" s="209" t="s">
        <v>118</v>
      </c>
      <c r="AI284" s="210" t="str">
        <f t="shared" si="178"/>
        <v>Fuerte</v>
      </c>
      <c r="AJ284" s="211" t="str">
        <f>IFERROR(VLOOKUP((CONCATENATE(AG284,AI284)),Listados!$U$3:$V$11,2,FALSE),"")</f>
        <v>Fuerte</v>
      </c>
      <c r="AK284" s="270">
        <f t="shared" si="179"/>
        <v>100</v>
      </c>
      <c r="AL284" s="447"/>
      <c r="AM284" s="449"/>
      <c r="AN284" s="269">
        <f>+IF(AND(Q284="Preventivo",AM283="Fuerte"),2,IF(AND(Q284="Preventivo",AM283="Moderado"),1,0))</f>
        <v>2</v>
      </c>
      <c r="AO284" s="269">
        <f t="shared" si="180"/>
        <v>0</v>
      </c>
      <c r="AP284" s="212">
        <f>+K283-AN284</f>
        <v>2</v>
      </c>
      <c r="AQ284" s="212">
        <f>+M283-AO284</f>
        <v>3</v>
      </c>
      <c r="AR284" s="433"/>
      <c r="AS284" s="433"/>
      <c r="AT284" s="433"/>
      <c r="AU284" s="433"/>
      <c r="AV284" s="323" t="s">
        <v>1359</v>
      </c>
      <c r="AW284" s="309" t="s">
        <v>1080</v>
      </c>
      <c r="AX284" s="324">
        <v>44927</v>
      </c>
      <c r="AY284" s="324">
        <v>45291</v>
      </c>
      <c r="AZ284" s="323" t="s">
        <v>1364</v>
      </c>
      <c r="BA284" s="323" t="s">
        <v>1360</v>
      </c>
      <c r="BB284" s="590"/>
      <c r="BC284" s="562"/>
      <c r="BD284" s="562"/>
      <c r="BE284" s="543"/>
      <c r="BF284" s="562"/>
      <c r="BG284" s="562"/>
    </row>
    <row r="285" spans="1:59" ht="126">
      <c r="A285" s="437"/>
      <c r="B285" s="483"/>
      <c r="C285" s="441"/>
      <c r="D285" s="444"/>
      <c r="E285" s="218"/>
      <c r="F285" s="218"/>
      <c r="G285" s="318" t="s">
        <v>1354</v>
      </c>
      <c r="H285" s="318" t="s">
        <v>30</v>
      </c>
      <c r="I285" s="318" t="s">
        <v>1356</v>
      </c>
      <c r="J285" s="472"/>
      <c r="K285" s="467"/>
      <c r="L285" s="478"/>
      <c r="M285" s="467"/>
      <c r="N285" s="470"/>
      <c r="O285" s="229" t="s">
        <v>462</v>
      </c>
      <c r="P285" s="229" t="s">
        <v>461</v>
      </c>
      <c r="Q285" s="231" t="s">
        <v>20</v>
      </c>
      <c r="R285" s="207" t="s">
        <v>116</v>
      </c>
      <c r="S285" s="208">
        <f t="shared" si="169"/>
        <v>15</v>
      </c>
      <c r="T285" s="207" t="s">
        <v>257</v>
      </c>
      <c r="U285" s="208">
        <f t="shared" si="170"/>
        <v>15</v>
      </c>
      <c r="V285" s="207" t="s">
        <v>257</v>
      </c>
      <c r="W285" s="208">
        <f t="shared" si="171"/>
        <v>15</v>
      </c>
      <c r="X285" s="207" t="s">
        <v>20</v>
      </c>
      <c r="Y285" s="208">
        <f t="shared" si="172"/>
        <v>15</v>
      </c>
      <c r="Z285" s="207" t="s">
        <v>257</v>
      </c>
      <c r="AA285" s="208">
        <f t="shared" si="173"/>
        <v>15</v>
      </c>
      <c r="AB285" s="207" t="s">
        <v>257</v>
      </c>
      <c r="AC285" s="208">
        <f t="shared" si="174"/>
        <v>15</v>
      </c>
      <c r="AD285" s="207" t="s">
        <v>117</v>
      </c>
      <c r="AE285" s="208">
        <f t="shared" si="175"/>
        <v>10</v>
      </c>
      <c r="AF285" s="270">
        <f t="shared" si="176"/>
        <v>100</v>
      </c>
      <c r="AG285" s="270" t="str">
        <f t="shared" si="177"/>
        <v>Fuerte</v>
      </c>
      <c r="AH285" s="209" t="s">
        <v>118</v>
      </c>
      <c r="AI285" s="210" t="str">
        <f t="shared" si="178"/>
        <v>Fuerte</v>
      </c>
      <c r="AJ285" s="211" t="str">
        <f>IFERROR(VLOOKUP((CONCATENATE(AG285,AI285)),Listados!$U$3:$V$11,2,FALSE),"")</f>
        <v>Fuerte</v>
      </c>
      <c r="AK285" s="270">
        <f t="shared" si="179"/>
        <v>100</v>
      </c>
      <c r="AL285" s="447"/>
      <c r="AM285" s="449"/>
      <c r="AN285" s="269">
        <f>+IF(AND(Q285="Preventivo",AM283="Fuerte"),2,IF(AND(Q285="Preventivo",AM283="Moderado"),1,0))</f>
        <v>2</v>
      </c>
      <c r="AO285" s="269">
        <f t="shared" si="180"/>
        <v>0</v>
      </c>
      <c r="AP285" s="212">
        <f>+K283-AN285</f>
        <v>2</v>
      </c>
      <c r="AQ285" s="212">
        <f>+M283-AO285</f>
        <v>3</v>
      </c>
      <c r="AR285" s="433"/>
      <c r="AS285" s="433"/>
      <c r="AT285" s="433"/>
      <c r="AU285" s="433"/>
      <c r="AV285" s="313" t="s">
        <v>1361</v>
      </c>
      <c r="AW285" s="242" t="s">
        <v>1080</v>
      </c>
      <c r="AX285" s="325">
        <v>44927</v>
      </c>
      <c r="AY285" s="325">
        <v>45291</v>
      </c>
      <c r="AZ285" s="326" t="s">
        <v>1365</v>
      </c>
      <c r="BA285" s="252" t="s">
        <v>1362</v>
      </c>
      <c r="BB285" s="590"/>
      <c r="BC285" s="562"/>
      <c r="BD285" s="562"/>
      <c r="BE285" s="543"/>
      <c r="BF285" s="562"/>
      <c r="BG285" s="562"/>
    </row>
    <row r="286" spans="1:59" ht="50.25" customHeight="1">
      <c r="A286" s="437"/>
      <c r="B286" s="483"/>
      <c r="C286" s="441"/>
      <c r="D286" s="444"/>
      <c r="E286" s="218"/>
      <c r="F286" s="218"/>
      <c r="G286" s="219"/>
      <c r="H286" s="216"/>
      <c r="I286" s="216"/>
      <c r="J286" s="472"/>
      <c r="K286" s="467"/>
      <c r="L286" s="478"/>
      <c r="M286" s="467"/>
      <c r="N286" s="470"/>
      <c r="O286" s="319" t="s">
        <v>1485</v>
      </c>
      <c r="P286" s="320" t="s">
        <v>1358</v>
      </c>
      <c r="Q286" s="231" t="s">
        <v>20</v>
      </c>
      <c r="R286" s="207" t="s">
        <v>116</v>
      </c>
      <c r="S286" s="208">
        <f t="shared" ref="S286:S287" si="181">+IF(R286="si",15,"")</f>
        <v>15</v>
      </c>
      <c r="T286" s="207" t="s">
        <v>257</v>
      </c>
      <c r="U286" s="208">
        <f t="shared" ref="U286:U287" si="182">+IF(T286="si",15,"")</f>
        <v>15</v>
      </c>
      <c r="V286" s="207" t="s">
        <v>257</v>
      </c>
      <c r="W286" s="208">
        <f t="shared" ref="W286:W287" si="183">+IF(V286="si",15,"")</f>
        <v>15</v>
      </c>
      <c r="X286" s="207" t="s">
        <v>20</v>
      </c>
      <c r="Y286" s="208">
        <f t="shared" ref="Y286:Y287" si="184">+IF(X286="Preventivo",15,IF(X286="Detectivo",10,""))</f>
        <v>15</v>
      </c>
      <c r="Z286" s="207" t="s">
        <v>257</v>
      </c>
      <c r="AA286" s="208">
        <f t="shared" ref="AA286:AA287" si="185">+IF(Z286="si",15,"")</f>
        <v>15</v>
      </c>
      <c r="AB286" s="207" t="s">
        <v>257</v>
      </c>
      <c r="AC286" s="208">
        <f t="shared" ref="AC286:AC287" si="186">+IF(AB286="si",15,"")</f>
        <v>15</v>
      </c>
      <c r="AD286" s="207" t="s">
        <v>117</v>
      </c>
      <c r="AE286" s="208">
        <f t="shared" si="175"/>
        <v>10</v>
      </c>
      <c r="AF286" s="270">
        <f t="shared" si="176"/>
        <v>100</v>
      </c>
      <c r="AG286" s="270" t="str">
        <f t="shared" si="177"/>
        <v>Fuerte</v>
      </c>
      <c r="AH286" s="209" t="s">
        <v>118</v>
      </c>
      <c r="AI286" s="210" t="str">
        <f t="shared" si="178"/>
        <v>Fuerte</v>
      </c>
      <c r="AJ286" s="211" t="str">
        <f>IFERROR(VLOOKUP((CONCATENATE(AG286,AI286)),Listados!$U$3:$V$11,2,FALSE),"")</f>
        <v>Fuerte</v>
      </c>
      <c r="AK286" s="270">
        <f t="shared" si="179"/>
        <v>100</v>
      </c>
      <c r="AL286" s="447"/>
      <c r="AM286" s="449"/>
      <c r="AN286" s="269">
        <f>+IF(AND(Q286="Preventivo",AM283="Fuerte"),2,IF(AND(Q286="Preventivo",AM283="Moderado"),1,0))</f>
        <v>2</v>
      </c>
      <c r="AO286" s="269">
        <f t="shared" si="180"/>
        <v>0</v>
      </c>
      <c r="AP286" s="212">
        <f>+K283-AN286</f>
        <v>2</v>
      </c>
      <c r="AQ286" s="212">
        <f>+M283-AO286</f>
        <v>3</v>
      </c>
      <c r="AR286" s="433"/>
      <c r="AS286" s="433"/>
      <c r="AT286" s="433"/>
      <c r="AU286" s="433"/>
      <c r="AV286" s="292"/>
      <c r="AW286" s="292"/>
      <c r="AX286" s="300"/>
      <c r="AY286" s="300"/>
      <c r="AZ286" s="292"/>
      <c r="BA286" s="292"/>
      <c r="BB286" s="590"/>
      <c r="BC286" s="562"/>
      <c r="BD286" s="562"/>
      <c r="BE286" s="543"/>
      <c r="BF286" s="562"/>
      <c r="BG286" s="562"/>
    </row>
    <row r="287" spans="1:59" ht="69" customHeight="1">
      <c r="A287" s="437"/>
      <c r="B287" s="483"/>
      <c r="C287" s="441"/>
      <c r="D287" s="444"/>
      <c r="E287" s="220"/>
      <c r="F287" s="220"/>
      <c r="G287" s="221"/>
      <c r="H287" s="222"/>
      <c r="I287" s="216"/>
      <c r="J287" s="472"/>
      <c r="K287" s="467"/>
      <c r="L287" s="478"/>
      <c r="M287" s="467"/>
      <c r="N287" s="470"/>
      <c r="O287" s="313"/>
      <c r="P287" s="313"/>
      <c r="Q287" s="231"/>
      <c r="R287" s="207"/>
      <c r="S287" s="208" t="str">
        <f t="shared" si="181"/>
        <v/>
      </c>
      <c r="T287" s="207"/>
      <c r="U287" s="208" t="str">
        <f t="shared" si="182"/>
        <v/>
      </c>
      <c r="V287" s="207"/>
      <c r="W287" s="208" t="str">
        <f t="shared" si="183"/>
        <v/>
      </c>
      <c r="X287" s="207"/>
      <c r="Y287" s="208" t="str">
        <f t="shared" si="184"/>
        <v/>
      </c>
      <c r="Z287" s="207"/>
      <c r="AA287" s="208" t="str">
        <f t="shared" si="185"/>
        <v/>
      </c>
      <c r="AB287" s="207"/>
      <c r="AC287" s="208" t="str">
        <f t="shared" si="186"/>
        <v/>
      </c>
      <c r="AD287" s="207"/>
      <c r="AE287" s="208" t="str">
        <f t="shared" si="175"/>
        <v/>
      </c>
      <c r="AF287" s="270" t="str">
        <f t="shared" si="176"/>
        <v/>
      </c>
      <c r="AG287" s="270" t="str">
        <f t="shared" si="177"/>
        <v/>
      </c>
      <c r="AH287" s="209"/>
      <c r="AI287" s="210" t="str">
        <f t="shared" si="178"/>
        <v>Débil</v>
      </c>
      <c r="AJ287" s="211" t="str">
        <f>IFERROR(VLOOKUP((CONCATENATE(AG287,AI287)),Listados!$U$3:$V$11,2,FALSE),"")</f>
        <v/>
      </c>
      <c r="AK287" s="270">
        <f t="shared" si="179"/>
        <v>100</v>
      </c>
      <c r="AL287" s="447"/>
      <c r="AM287" s="449"/>
      <c r="AN287" s="269">
        <f>+IF(AND(Q287="Preventivo",AM283="Fuerte"),2,IF(AND(Q287="Preventivo",AM283="Moderado"),1,0))</f>
        <v>0</v>
      </c>
      <c r="AO287" s="269">
        <f t="shared" si="180"/>
        <v>0</v>
      </c>
      <c r="AP287" s="212">
        <f>+K283-AN287</f>
        <v>4</v>
      </c>
      <c r="AQ287" s="212">
        <f>+M283-AO287</f>
        <v>3</v>
      </c>
      <c r="AR287" s="433"/>
      <c r="AS287" s="433"/>
      <c r="AT287" s="433"/>
      <c r="AU287" s="433"/>
      <c r="AV287" s="292"/>
      <c r="AW287" s="292"/>
      <c r="AX287" s="300"/>
      <c r="AY287" s="300"/>
      <c r="AZ287" s="292"/>
      <c r="BA287" s="292"/>
      <c r="BB287" s="590"/>
      <c r="BC287" s="562"/>
      <c r="BD287" s="562"/>
      <c r="BE287" s="543"/>
      <c r="BF287" s="562"/>
      <c r="BG287" s="562"/>
    </row>
    <row r="288" spans="1:59" ht="15" thickBot="1">
      <c r="A288" s="438"/>
      <c r="B288" s="483"/>
      <c r="C288" s="442"/>
      <c r="D288" s="445"/>
      <c r="E288" s="223"/>
      <c r="F288" s="223"/>
      <c r="G288" s="224"/>
      <c r="H288" s="225"/>
      <c r="I288" s="216"/>
      <c r="J288" s="472"/>
      <c r="K288" s="468"/>
      <c r="L288" s="478"/>
      <c r="M288" s="468"/>
      <c r="N288" s="470"/>
      <c r="O288" s="213"/>
      <c r="P288" s="231"/>
      <c r="Q288" s="231"/>
      <c r="R288" s="231"/>
      <c r="S288" s="208" t="str">
        <f t="shared" si="169"/>
        <v/>
      </c>
      <c r="T288" s="231"/>
      <c r="U288" s="208" t="str">
        <f t="shared" si="170"/>
        <v/>
      </c>
      <c r="V288" s="207"/>
      <c r="W288" s="208" t="str">
        <f t="shared" si="171"/>
        <v/>
      </c>
      <c r="X288" s="207"/>
      <c r="Y288" s="208" t="str">
        <f t="shared" si="172"/>
        <v/>
      </c>
      <c r="Z288" s="207"/>
      <c r="AA288" s="208" t="str">
        <f t="shared" si="173"/>
        <v/>
      </c>
      <c r="AB288" s="207"/>
      <c r="AC288" s="208" t="str">
        <f t="shared" si="174"/>
        <v/>
      </c>
      <c r="AD288" s="207"/>
      <c r="AE288" s="208" t="str">
        <f t="shared" si="175"/>
        <v/>
      </c>
      <c r="AF288" s="270" t="str">
        <f t="shared" si="176"/>
        <v/>
      </c>
      <c r="AG288" s="270" t="str">
        <f t="shared" si="177"/>
        <v/>
      </c>
      <c r="AH288" s="209"/>
      <c r="AI288" s="210" t="str">
        <f t="shared" si="178"/>
        <v>Débil</v>
      </c>
      <c r="AJ288" s="211" t="str">
        <f>IFERROR(VLOOKUP((CONCATENATE(AG288,AI288)),Listados!$U$3:$V$11,2,FALSE),"")</f>
        <v/>
      </c>
      <c r="AK288" s="270">
        <f t="shared" si="179"/>
        <v>100</v>
      </c>
      <c r="AL288" s="448"/>
      <c r="AM288" s="449"/>
      <c r="AN288" s="269">
        <f>+IF(AND(Q288="Preventivo",AM283="Fuerte"),2,IF(AND(Q288="Preventivo",AM283="Moderado"),1,0))</f>
        <v>0</v>
      </c>
      <c r="AO288" s="269">
        <f t="shared" si="180"/>
        <v>0</v>
      </c>
      <c r="AP288" s="212">
        <f>+K283-AN288</f>
        <v>4</v>
      </c>
      <c r="AQ288" s="212">
        <f>+M283-AO288</f>
        <v>3</v>
      </c>
      <c r="AR288" s="434"/>
      <c r="AS288" s="434"/>
      <c r="AT288" s="434"/>
      <c r="AU288" s="434"/>
      <c r="AV288" s="293"/>
      <c r="AW288" s="293"/>
      <c r="AX288" s="301"/>
      <c r="AY288" s="301"/>
      <c r="AZ288" s="293"/>
      <c r="BA288" s="293"/>
      <c r="BB288" s="591"/>
      <c r="BC288" s="563"/>
      <c r="BD288" s="563"/>
      <c r="BE288" s="544"/>
      <c r="BF288" s="563"/>
      <c r="BG288" s="563"/>
    </row>
    <row r="289" spans="1:59" ht="112">
      <c r="A289" s="436">
        <v>49</v>
      </c>
      <c r="B289" s="482" t="s">
        <v>95</v>
      </c>
      <c r="C289" s="440" t="str">
        <f>IFERROR(VLOOKUP(B289,Listados!B$3:C$20,2,FALSE),"")</f>
        <v>Apoyar a las diferentes dependencias de la Entidad y del Sector Justicia en el cumplimiento de su función administrativa, emitir conceptos jurídicos, defender y representar jurídicamente al Ministerio de Justicia y del Derecho</v>
      </c>
      <c r="D289" s="443" t="s">
        <v>1292</v>
      </c>
      <c r="E289" s="226" t="s">
        <v>15</v>
      </c>
      <c r="F289" s="226" t="s">
        <v>177</v>
      </c>
      <c r="G289" s="228" t="s">
        <v>463</v>
      </c>
      <c r="H289" s="227" t="s">
        <v>16</v>
      </c>
      <c r="I289" s="227" t="s">
        <v>320</v>
      </c>
      <c r="J289" s="471" t="s">
        <v>44</v>
      </c>
      <c r="K289" s="466">
        <f>+VLOOKUP(J289,Listados!$K$8:$L$12,2,0)</f>
        <v>3</v>
      </c>
      <c r="L289" s="477" t="s">
        <v>18</v>
      </c>
      <c r="M289" s="466">
        <f>+VLOOKUP(L289,Listados!$K$13:$L$17,2,0)</f>
        <v>1</v>
      </c>
      <c r="N289" s="434" t="str">
        <f>IF(AND(J289&lt;&gt;"",L289&lt;&gt;""),VLOOKUP(J289&amp;L289,Listados!$M$3:$N$27,2,FALSE),"")</f>
        <v>Bajo</v>
      </c>
      <c r="O289" s="137" t="s">
        <v>464</v>
      </c>
      <c r="P289" s="228" t="s">
        <v>463</v>
      </c>
      <c r="Q289" s="231" t="s">
        <v>20</v>
      </c>
      <c r="R289" s="207" t="s">
        <v>116</v>
      </c>
      <c r="S289" s="208">
        <f t="shared" si="169"/>
        <v>15</v>
      </c>
      <c r="T289" s="207" t="s">
        <v>257</v>
      </c>
      <c r="U289" s="208">
        <f t="shared" si="170"/>
        <v>15</v>
      </c>
      <c r="V289" s="207" t="s">
        <v>257</v>
      </c>
      <c r="W289" s="208">
        <f t="shared" si="171"/>
        <v>15</v>
      </c>
      <c r="X289" s="207" t="s">
        <v>20</v>
      </c>
      <c r="Y289" s="208">
        <f t="shared" si="172"/>
        <v>15</v>
      </c>
      <c r="Z289" s="207" t="s">
        <v>257</v>
      </c>
      <c r="AA289" s="208">
        <f t="shared" si="173"/>
        <v>15</v>
      </c>
      <c r="AB289" s="207" t="s">
        <v>257</v>
      </c>
      <c r="AC289" s="208">
        <f t="shared" si="174"/>
        <v>15</v>
      </c>
      <c r="AD289" s="207" t="s">
        <v>117</v>
      </c>
      <c r="AE289" s="208">
        <f t="shared" si="175"/>
        <v>10</v>
      </c>
      <c r="AF289" s="270">
        <f t="shared" si="176"/>
        <v>100</v>
      </c>
      <c r="AG289" s="270" t="str">
        <f t="shared" si="177"/>
        <v>Fuerte</v>
      </c>
      <c r="AH289" s="209" t="s">
        <v>118</v>
      </c>
      <c r="AI289" s="210" t="str">
        <f t="shared" si="178"/>
        <v>Fuerte</v>
      </c>
      <c r="AJ289" s="211" t="str">
        <f>IFERROR(VLOOKUP((CONCATENATE(AG289,AI289)),Listados!$U$3:$V$11,2,FALSE),"")</f>
        <v>Fuerte</v>
      </c>
      <c r="AK289" s="270">
        <f t="shared" si="179"/>
        <v>100</v>
      </c>
      <c r="AL289" s="446">
        <f>AVERAGE(AK289:AK294)</f>
        <v>100</v>
      </c>
      <c r="AM289" s="448" t="str">
        <f>IF(AL289&lt;=50, "Débil", IF(AL289&lt;=99,"Moderado","Fuerte"))</f>
        <v>Fuerte</v>
      </c>
      <c r="AN289" s="269">
        <f>+IF(AND(Q289="Preventivo",AM289="Fuerte"),2,IF(AND(Q289="Preventivo",AM289="Moderado"),1,0))</f>
        <v>2</v>
      </c>
      <c r="AO289" s="269">
        <f t="shared" si="180"/>
        <v>0</v>
      </c>
      <c r="AP289" s="212">
        <f>+K289-AN289</f>
        <v>1</v>
      </c>
      <c r="AQ289" s="212">
        <f>+M289-AO289</f>
        <v>1</v>
      </c>
      <c r="AR289" s="435" t="str">
        <f>+VLOOKUP(MIN(AP289,AP290,AP291,AP292,AP293,AP294),Listados!$J$18:$K$24,2,TRUE)</f>
        <v>Rara Vez</v>
      </c>
      <c r="AS289" s="435" t="str">
        <f>+VLOOKUP(MIN(AQ289,AQ290,AQ291,AQ292,AQ293,AQ294),Listados!$J$27:$K$32,2,TRUE)</f>
        <v>Insignificante</v>
      </c>
      <c r="AT289" s="435" t="str">
        <f>IF(AND(AR289&lt;&gt;"",AS289&lt;&gt;""),VLOOKUP(AR289&amp;AS289,Listados!$M$3:$N$27,2,FALSE),"")</f>
        <v>Bajo</v>
      </c>
      <c r="AU289" s="435" t="str">
        <f>+VLOOKUP(AT289,Listados!$P$3:$Q$6,2,FALSE)</f>
        <v>Asumir el riesgo</v>
      </c>
      <c r="AV289" s="585" t="s">
        <v>1153</v>
      </c>
      <c r="AW289" s="585" t="s">
        <v>1148</v>
      </c>
      <c r="AX289" s="586">
        <v>44927</v>
      </c>
      <c r="AY289" s="586">
        <v>45291</v>
      </c>
      <c r="AZ289" s="585" t="s">
        <v>1149</v>
      </c>
      <c r="BA289" s="585" t="s">
        <v>1154</v>
      </c>
      <c r="BB289" s="589" t="s">
        <v>1495</v>
      </c>
      <c r="BC289" s="585" t="s">
        <v>1689</v>
      </c>
      <c r="BD289" s="585"/>
      <c r="BE289" s="542" t="s">
        <v>1540</v>
      </c>
      <c r="BF289" s="585" t="s">
        <v>1823</v>
      </c>
      <c r="BG289" s="585"/>
    </row>
    <row r="290" spans="1:59" ht="112">
      <c r="A290" s="437"/>
      <c r="B290" s="483"/>
      <c r="C290" s="441"/>
      <c r="D290" s="444"/>
      <c r="E290" s="218"/>
      <c r="F290" s="218"/>
      <c r="G290" s="137" t="s">
        <v>465</v>
      </c>
      <c r="H290" s="216" t="s">
        <v>16</v>
      </c>
      <c r="I290" s="216"/>
      <c r="J290" s="472"/>
      <c r="K290" s="467"/>
      <c r="L290" s="478"/>
      <c r="M290" s="467"/>
      <c r="N290" s="470"/>
      <c r="O290" s="137" t="s">
        <v>466</v>
      </c>
      <c r="P290" s="137" t="s">
        <v>465</v>
      </c>
      <c r="Q290" s="231" t="s">
        <v>123</v>
      </c>
      <c r="R290" s="207" t="s">
        <v>116</v>
      </c>
      <c r="S290" s="208">
        <f t="shared" si="169"/>
        <v>15</v>
      </c>
      <c r="T290" s="207" t="s">
        <v>257</v>
      </c>
      <c r="U290" s="208">
        <f t="shared" si="170"/>
        <v>15</v>
      </c>
      <c r="V290" s="207" t="s">
        <v>257</v>
      </c>
      <c r="W290" s="208">
        <f t="shared" si="171"/>
        <v>15</v>
      </c>
      <c r="X290" s="207" t="s">
        <v>20</v>
      </c>
      <c r="Y290" s="208">
        <f t="shared" si="172"/>
        <v>15</v>
      </c>
      <c r="Z290" s="207" t="s">
        <v>257</v>
      </c>
      <c r="AA290" s="208">
        <f t="shared" si="173"/>
        <v>15</v>
      </c>
      <c r="AB290" s="207" t="s">
        <v>257</v>
      </c>
      <c r="AC290" s="208">
        <f t="shared" si="174"/>
        <v>15</v>
      </c>
      <c r="AD290" s="207" t="s">
        <v>117</v>
      </c>
      <c r="AE290" s="208">
        <f t="shared" si="175"/>
        <v>10</v>
      </c>
      <c r="AF290" s="270">
        <f t="shared" si="176"/>
        <v>100</v>
      </c>
      <c r="AG290" s="270" t="str">
        <f t="shared" si="177"/>
        <v>Fuerte</v>
      </c>
      <c r="AH290" s="209" t="s">
        <v>118</v>
      </c>
      <c r="AI290" s="210" t="str">
        <f t="shared" si="178"/>
        <v>Fuerte</v>
      </c>
      <c r="AJ290" s="211" t="str">
        <f>IFERROR(VLOOKUP((CONCATENATE(AG290,AI290)),Listados!$U$3:$V$11,2,FALSE),"")</f>
        <v>Fuerte</v>
      </c>
      <c r="AK290" s="270">
        <f t="shared" si="179"/>
        <v>100</v>
      </c>
      <c r="AL290" s="447"/>
      <c r="AM290" s="449"/>
      <c r="AN290" s="269">
        <f>+IF(AND(Q290="Preventivo",AM289="Fuerte"),2,IF(AND(Q290="Preventivo",AM289="Moderado"),1,0))</f>
        <v>0</v>
      </c>
      <c r="AO290" s="269">
        <f t="shared" si="180"/>
        <v>0</v>
      </c>
      <c r="AP290" s="212">
        <f>+K289-AN290</f>
        <v>3</v>
      </c>
      <c r="AQ290" s="212">
        <f>+M289-AO290</f>
        <v>1</v>
      </c>
      <c r="AR290" s="433"/>
      <c r="AS290" s="433"/>
      <c r="AT290" s="433"/>
      <c r="AU290" s="433"/>
      <c r="AV290" s="562"/>
      <c r="AW290" s="562"/>
      <c r="AX290" s="587"/>
      <c r="AY290" s="587"/>
      <c r="AZ290" s="562"/>
      <c r="BA290" s="562"/>
      <c r="BB290" s="590"/>
      <c r="BC290" s="562"/>
      <c r="BD290" s="562"/>
      <c r="BE290" s="543"/>
      <c r="BF290" s="562"/>
      <c r="BG290" s="562"/>
    </row>
    <row r="291" spans="1:59" ht="14.15" customHeight="1">
      <c r="A291" s="437"/>
      <c r="B291" s="483"/>
      <c r="C291" s="441"/>
      <c r="D291" s="444"/>
      <c r="E291" s="218"/>
      <c r="F291" s="218"/>
      <c r="G291" s="137"/>
      <c r="H291" s="216"/>
      <c r="I291" s="216"/>
      <c r="J291" s="472"/>
      <c r="K291" s="467"/>
      <c r="L291" s="478"/>
      <c r="M291" s="467"/>
      <c r="N291" s="470"/>
      <c r="O291" s="213"/>
      <c r="P291" s="231"/>
      <c r="Q291" s="231"/>
      <c r="R291" s="231"/>
      <c r="S291" s="208" t="str">
        <f t="shared" si="169"/>
        <v/>
      </c>
      <c r="T291" s="231"/>
      <c r="U291" s="208" t="str">
        <f t="shared" si="170"/>
        <v/>
      </c>
      <c r="V291" s="207"/>
      <c r="W291" s="208" t="str">
        <f t="shared" si="171"/>
        <v/>
      </c>
      <c r="X291" s="207"/>
      <c r="Y291" s="208" t="str">
        <f t="shared" si="172"/>
        <v/>
      </c>
      <c r="Z291" s="207"/>
      <c r="AA291" s="208" t="str">
        <f t="shared" si="173"/>
        <v/>
      </c>
      <c r="AB291" s="207"/>
      <c r="AC291" s="208" t="str">
        <f t="shared" si="174"/>
        <v/>
      </c>
      <c r="AD291" s="207"/>
      <c r="AE291" s="208" t="str">
        <f t="shared" si="175"/>
        <v/>
      </c>
      <c r="AF291" s="270" t="str">
        <f t="shared" si="176"/>
        <v/>
      </c>
      <c r="AG291" s="270" t="str">
        <f t="shared" si="177"/>
        <v/>
      </c>
      <c r="AH291" s="209"/>
      <c r="AI291" s="210" t="str">
        <f t="shared" si="178"/>
        <v>Débil</v>
      </c>
      <c r="AJ291" s="211" t="str">
        <f>IFERROR(VLOOKUP((CONCATENATE(AG291,AI291)),Listados!$U$3:$V$11,2,FALSE),"")</f>
        <v/>
      </c>
      <c r="AK291" s="270">
        <f t="shared" si="179"/>
        <v>100</v>
      </c>
      <c r="AL291" s="447"/>
      <c r="AM291" s="449"/>
      <c r="AN291" s="269">
        <f>+IF(AND(Q291="Preventivo",AM289="Fuerte"),2,IF(AND(Q291="Preventivo",AM289="Moderado"),1,0))</f>
        <v>0</v>
      </c>
      <c r="AO291" s="269">
        <f t="shared" si="180"/>
        <v>0</v>
      </c>
      <c r="AP291" s="212">
        <f>+K289-AN291</f>
        <v>3</v>
      </c>
      <c r="AQ291" s="212">
        <f>+M289-AO291</f>
        <v>1</v>
      </c>
      <c r="AR291" s="433"/>
      <c r="AS291" s="433"/>
      <c r="AT291" s="433"/>
      <c r="AU291" s="433"/>
      <c r="AV291" s="562"/>
      <c r="AW291" s="562"/>
      <c r="AX291" s="587"/>
      <c r="AY291" s="587"/>
      <c r="AZ291" s="562"/>
      <c r="BA291" s="562"/>
      <c r="BB291" s="590"/>
      <c r="BC291" s="562"/>
      <c r="BD291" s="562"/>
      <c r="BE291" s="543"/>
      <c r="BF291" s="562"/>
      <c r="BG291" s="562"/>
    </row>
    <row r="292" spans="1:59" ht="14.15" customHeight="1">
      <c r="A292" s="437"/>
      <c r="B292" s="483"/>
      <c r="C292" s="441"/>
      <c r="D292" s="444"/>
      <c r="E292" s="218"/>
      <c r="F292" s="218"/>
      <c r="G292" s="219"/>
      <c r="H292" s="216"/>
      <c r="I292" s="216"/>
      <c r="J292" s="472"/>
      <c r="K292" s="467"/>
      <c r="L292" s="478"/>
      <c r="M292" s="467"/>
      <c r="N292" s="470"/>
      <c r="O292" s="213"/>
      <c r="P292" s="231"/>
      <c r="Q292" s="231"/>
      <c r="R292" s="231"/>
      <c r="S292" s="208" t="str">
        <f t="shared" si="169"/>
        <v/>
      </c>
      <c r="T292" s="231"/>
      <c r="U292" s="208" t="str">
        <f t="shared" si="170"/>
        <v/>
      </c>
      <c r="V292" s="207"/>
      <c r="W292" s="208" t="str">
        <f t="shared" si="171"/>
        <v/>
      </c>
      <c r="X292" s="207"/>
      <c r="Y292" s="208" t="str">
        <f t="shared" si="172"/>
        <v/>
      </c>
      <c r="Z292" s="207"/>
      <c r="AA292" s="208" t="str">
        <f t="shared" si="173"/>
        <v/>
      </c>
      <c r="AB292" s="207"/>
      <c r="AC292" s="208" t="str">
        <f t="shared" si="174"/>
        <v/>
      </c>
      <c r="AD292" s="207"/>
      <c r="AE292" s="208" t="str">
        <f t="shared" si="175"/>
        <v/>
      </c>
      <c r="AF292" s="270" t="str">
        <f t="shared" si="176"/>
        <v/>
      </c>
      <c r="AG292" s="270" t="str">
        <f t="shared" si="177"/>
        <v/>
      </c>
      <c r="AH292" s="209"/>
      <c r="AI292" s="210" t="str">
        <f t="shared" si="178"/>
        <v>Débil</v>
      </c>
      <c r="AJ292" s="211" t="str">
        <f>IFERROR(VLOOKUP((CONCATENATE(AG292,AI292)),Listados!$U$3:$V$11,2,FALSE),"")</f>
        <v/>
      </c>
      <c r="AK292" s="270">
        <f t="shared" si="179"/>
        <v>100</v>
      </c>
      <c r="AL292" s="447"/>
      <c r="AM292" s="449"/>
      <c r="AN292" s="269">
        <f>+IF(AND(Q292="Preventivo",AM289="Fuerte"),2,IF(AND(Q292="Preventivo",AM289="Moderado"),1,0))</f>
        <v>0</v>
      </c>
      <c r="AO292" s="269">
        <f t="shared" si="180"/>
        <v>0</v>
      </c>
      <c r="AP292" s="212">
        <f>+K289-AN292</f>
        <v>3</v>
      </c>
      <c r="AQ292" s="212">
        <f>+M289-AO292</f>
        <v>1</v>
      </c>
      <c r="AR292" s="433"/>
      <c r="AS292" s="433"/>
      <c r="AT292" s="433"/>
      <c r="AU292" s="433"/>
      <c r="AV292" s="562"/>
      <c r="AW292" s="562"/>
      <c r="AX292" s="587"/>
      <c r="AY292" s="587"/>
      <c r="AZ292" s="562"/>
      <c r="BA292" s="562"/>
      <c r="BB292" s="590"/>
      <c r="BC292" s="562"/>
      <c r="BD292" s="562"/>
      <c r="BE292" s="543"/>
      <c r="BF292" s="562"/>
      <c r="BG292" s="562"/>
    </row>
    <row r="293" spans="1:59" ht="14.15" customHeight="1">
      <c r="A293" s="437"/>
      <c r="B293" s="483"/>
      <c r="C293" s="441"/>
      <c r="D293" s="444"/>
      <c r="E293" s="220"/>
      <c r="F293" s="220"/>
      <c r="G293" s="221"/>
      <c r="H293" s="222"/>
      <c r="I293" s="216"/>
      <c r="J293" s="472"/>
      <c r="K293" s="467"/>
      <c r="L293" s="478"/>
      <c r="M293" s="467"/>
      <c r="N293" s="470"/>
      <c r="O293" s="213"/>
      <c r="P293" s="231"/>
      <c r="Q293" s="231"/>
      <c r="R293" s="231"/>
      <c r="S293" s="208" t="str">
        <f t="shared" si="169"/>
        <v/>
      </c>
      <c r="T293" s="231"/>
      <c r="U293" s="208" t="str">
        <f t="shared" si="170"/>
        <v/>
      </c>
      <c r="V293" s="207"/>
      <c r="W293" s="208" t="str">
        <f t="shared" si="171"/>
        <v/>
      </c>
      <c r="X293" s="207"/>
      <c r="Y293" s="208" t="str">
        <f t="shared" si="172"/>
        <v/>
      </c>
      <c r="Z293" s="207"/>
      <c r="AA293" s="208" t="str">
        <f t="shared" si="173"/>
        <v/>
      </c>
      <c r="AB293" s="207"/>
      <c r="AC293" s="208" t="str">
        <f t="shared" si="174"/>
        <v/>
      </c>
      <c r="AD293" s="207"/>
      <c r="AE293" s="208" t="str">
        <f t="shared" si="175"/>
        <v/>
      </c>
      <c r="AF293" s="270" t="str">
        <f t="shared" si="176"/>
        <v/>
      </c>
      <c r="AG293" s="270" t="str">
        <f t="shared" si="177"/>
        <v/>
      </c>
      <c r="AH293" s="209"/>
      <c r="AI293" s="210" t="str">
        <f t="shared" si="178"/>
        <v>Débil</v>
      </c>
      <c r="AJ293" s="211" t="str">
        <f>IFERROR(VLOOKUP((CONCATENATE(AG293,AI293)),Listados!$U$3:$V$11,2,FALSE),"")</f>
        <v/>
      </c>
      <c r="AK293" s="270">
        <f t="shared" si="179"/>
        <v>100</v>
      </c>
      <c r="AL293" s="447"/>
      <c r="AM293" s="449"/>
      <c r="AN293" s="269">
        <f>+IF(AND(Q293="Preventivo",AM289="Fuerte"),2,IF(AND(Q293="Preventivo",AM289="Moderado"),1,0))</f>
        <v>0</v>
      </c>
      <c r="AO293" s="269">
        <f t="shared" si="180"/>
        <v>0</v>
      </c>
      <c r="AP293" s="212">
        <f>+K289-AN293</f>
        <v>3</v>
      </c>
      <c r="AQ293" s="212">
        <f>+M289-AO293</f>
        <v>1</v>
      </c>
      <c r="AR293" s="433"/>
      <c r="AS293" s="433"/>
      <c r="AT293" s="433"/>
      <c r="AU293" s="433"/>
      <c r="AV293" s="562"/>
      <c r="AW293" s="562"/>
      <c r="AX293" s="587"/>
      <c r="AY293" s="587"/>
      <c r="AZ293" s="562"/>
      <c r="BA293" s="562"/>
      <c r="BB293" s="590"/>
      <c r="BC293" s="562"/>
      <c r="BD293" s="562"/>
      <c r="BE293" s="543"/>
      <c r="BF293" s="562"/>
      <c r="BG293" s="562"/>
    </row>
    <row r="294" spans="1:59" ht="14.15" customHeight="1">
      <c r="A294" s="437"/>
      <c r="B294" s="483"/>
      <c r="C294" s="441"/>
      <c r="D294" s="492"/>
      <c r="E294" s="278"/>
      <c r="F294" s="278"/>
      <c r="G294" s="279"/>
      <c r="H294" s="280"/>
      <c r="I294" s="280"/>
      <c r="J294" s="489"/>
      <c r="K294" s="468"/>
      <c r="L294" s="490"/>
      <c r="M294" s="468"/>
      <c r="N294" s="491"/>
      <c r="O294" s="213"/>
      <c r="P294" s="231"/>
      <c r="Q294" s="231"/>
      <c r="R294" s="231"/>
      <c r="S294" s="208" t="str">
        <f t="shared" si="169"/>
        <v/>
      </c>
      <c r="T294" s="231"/>
      <c r="U294" s="208" t="str">
        <f t="shared" si="170"/>
        <v/>
      </c>
      <c r="V294" s="207"/>
      <c r="W294" s="208" t="str">
        <f t="shared" si="171"/>
        <v/>
      </c>
      <c r="X294" s="207"/>
      <c r="Y294" s="208" t="str">
        <f t="shared" si="172"/>
        <v/>
      </c>
      <c r="Z294" s="207"/>
      <c r="AA294" s="208" t="str">
        <f t="shared" si="173"/>
        <v/>
      </c>
      <c r="AB294" s="207"/>
      <c r="AC294" s="208" t="str">
        <f t="shared" si="174"/>
        <v/>
      </c>
      <c r="AD294" s="207"/>
      <c r="AE294" s="208" t="str">
        <f t="shared" si="175"/>
        <v/>
      </c>
      <c r="AF294" s="270" t="str">
        <f t="shared" si="176"/>
        <v/>
      </c>
      <c r="AG294" s="270" t="str">
        <f t="shared" si="177"/>
        <v/>
      </c>
      <c r="AH294" s="209"/>
      <c r="AI294" s="210" t="str">
        <f t="shared" si="178"/>
        <v>Débil</v>
      </c>
      <c r="AJ294" s="211" t="str">
        <f>IFERROR(VLOOKUP((CONCATENATE(AG294,AI294)),Listados!$U$3:$V$11,2,FALSE),"")</f>
        <v/>
      </c>
      <c r="AK294" s="270">
        <f t="shared" si="179"/>
        <v>100</v>
      </c>
      <c r="AL294" s="448"/>
      <c r="AM294" s="449"/>
      <c r="AN294" s="269">
        <f>+IF(AND(Q294="Preventivo",AM289="Fuerte"),2,IF(AND(Q294="Preventivo",AM289="Moderado"),1,0))</f>
        <v>0</v>
      </c>
      <c r="AO294" s="269">
        <f t="shared" si="180"/>
        <v>0</v>
      </c>
      <c r="AP294" s="212">
        <f>+K289-AN294</f>
        <v>3</v>
      </c>
      <c r="AQ294" s="212">
        <f>+M289-AO294</f>
        <v>1</v>
      </c>
      <c r="AR294" s="434"/>
      <c r="AS294" s="434"/>
      <c r="AT294" s="434"/>
      <c r="AU294" s="434"/>
      <c r="AV294" s="563"/>
      <c r="AW294" s="563"/>
      <c r="AX294" s="588"/>
      <c r="AY294" s="588"/>
      <c r="AZ294" s="563"/>
      <c r="BA294" s="563"/>
      <c r="BB294" s="591"/>
      <c r="BC294" s="563"/>
      <c r="BD294" s="563"/>
      <c r="BE294" s="544"/>
      <c r="BF294" s="563"/>
      <c r="BG294" s="563"/>
    </row>
    <row r="295" spans="1:59" ht="182">
      <c r="A295" s="485">
        <v>50</v>
      </c>
      <c r="B295" s="480" t="s">
        <v>101</v>
      </c>
      <c r="C295" s="486" t="str">
        <f>IFERROR(VLOOKUP(B295,Listados!B$3:C$20,2,FALSE),"")</f>
        <v>Contar con  personal idoneo y calificado para el ejercicio de las funciones de la entidad, así mismo fortelcer las competencias, habilidades, conocimientos y mejoramiento de la calidad de la vida laboral de los servidores públicos, cumpliendo con todas las disposiciones legales vigentes.</v>
      </c>
      <c r="D295" s="487" t="s">
        <v>1273</v>
      </c>
      <c r="E295" s="247" t="s">
        <v>29</v>
      </c>
      <c r="F295" s="247" t="s">
        <v>189</v>
      </c>
      <c r="G295" s="229" t="s">
        <v>1018</v>
      </c>
      <c r="H295" s="230" t="s">
        <v>16</v>
      </c>
      <c r="I295" s="230" t="s">
        <v>1020</v>
      </c>
      <c r="J295" s="480" t="s">
        <v>31</v>
      </c>
      <c r="K295" s="493">
        <f>+VLOOKUP(J295,Listados!$K$8:$L$12,2,0)</f>
        <v>2</v>
      </c>
      <c r="L295" s="481" t="s">
        <v>36</v>
      </c>
      <c r="M295" s="493">
        <f>+VLOOKUP(L295,Listados!$K$13:$L$17,2,0)</f>
        <v>3</v>
      </c>
      <c r="N295" s="469" t="str">
        <f>IF(AND(J295&lt;&gt;"",L295&lt;&gt;""),VLOOKUP(J295&amp;L295,Listados!$M$3:$N$27,2,FALSE),"")</f>
        <v>Moderado</v>
      </c>
      <c r="O295" s="404" t="s">
        <v>1656</v>
      </c>
      <c r="P295" s="139" t="s">
        <v>185</v>
      </c>
      <c r="Q295" s="231" t="s">
        <v>20</v>
      </c>
      <c r="R295" s="207" t="s">
        <v>116</v>
      </c>
      <c r="S295" s="208">
        <f t="shared" si="169"/>
        <v>15</v>
      </c>
      <c r="T295" s="207" t="s">
        <v>257</v>
      </c>
      <c r="U295" s="208">
        <f t="shared" si="170"/>
        <v>15</v>
      </c>
      <c r="V295" s="207" t="s">
        <v>257</v>
      </c>
      <c r="W295" s="208">
        <f t="shared" si="171"/>
        <v>15</v>
      </c>
      <c r="X295" s="207" t="s">
        <v>20</v>
      </c>
      <c r="Y295" s="208">
        <f t="shared" si="172"/>
        <v>15</v>
      </c>
      <c r="Z295" s="207" t="s">
        <v>257</v>
      </c>
      <c r="AA295" s="208">
        <f t="shared" si="173"/>
        <v>15</v>
      </c>
      <c r="AB295" s="207" t="s">
        <v>257</v>
      </c>
      <c r="AC295" s="208">
        <f t="shared" si="174"/>
        <v>15</v>
      </c>
      <c r="AD295" s="207" t="s">
        <v>117</v>
      </c>
      <c r="AE295" s="208">
        <f t="shared" si="175"/>
        <v>10</v>
      </c>
      <c r="AF295" s="270">
        <f t="shared" si="176"/>
        <v>100</v>
      </c>
      <c r="AG295" s="270" t="str">
        <f t="shared" si="177"/>
        <v>Fuerte</v>
      </c>
      <c r="AH295" s="209" t="s">
        <v>118</v>
      </c>
      <c r="AI295" s="210" t="str">
        <f t="shared" si="178"/>
        <v>Fuerte</v>
      </c>
      <c r="AJ295" s="211" t="str">
        <f>IFERROR(VLOOKUP((CONCATENATE(AG295,AI295)),Listados!$U$3:$V$11,2,FALSE),"")</f>
        <v>Fuerte</v>
      </c>
      <c r="AK295" s="270">
        <f t="shared" si="179"/>
        <v>100</v>
      </c>
      <c r="AL295" s="446">
        <f>AVERAGE(AK295:AK300)</f>
        <v>100</v>
      </c>
      <c r="AM295" s="448" t="str">
        <f>IF(AL295&lt;=50, "Débil", IF(AL295&lt;=99,"Moderado","Fuerte"))</f>
        <v>Fuerte</v>
      </c>
      <c r="AN295" s="269">
        <f>+IF(AND(Q295="Preventivo",AM295="Fuerte"),2,IF(AND(Q295="Preventivo",AM295="Moderado"),1,0))</f>
        <v>2</v>
      </c>
      <c r="AO295" s="269">
        <f t="shared" si="180"/>
        <v>0</v>
      </c>
      <c r="AP295" s="212">
        <f>+K295-AN295</f>
        <v>0</v>
      </c>
      <c r="AQ295" s="212">
        <f>+M295-AO295</f>
        <v>3</v>
      </c>
      <c r="AR295" s="435" t="str">
        <f>+VLOOKUP(MIN(AP295,AP296,AP297,AP298,AP299,AP300),Listados!$J$18:$K$24,2,TRUE)</f>
        <v>Rara Vez</v>
      </c>
      <c r="AS295" s="435" t="str">
        <f>+VLOOKUP(MIN(AQ295,AQ296,AQ297,AQ298,AQ299,AQ300),Listados!$J$27:$K$32,2,TRUE)</f>
        <v>Moderado</v>
      </c>
      <c r="AT295" s="435" t="str">
        <f>IF(AND(AR295&lt;&gt;"",AS295&lt;&gt;""),VLOOKUP(AR295&amp;AS295,Listados!$M$3:$N$27,2,FALSE),"")</f>
        <v>Moderado</v>
      </c>
      <c r="AU295" s="435" t="str">
        <f>+VLOOKUP(AT295,Listados!$P$3:$Q$6,2,FALSE)</f>
        <v xml:space="preserve"> Reducir el riesgo</v>
      </c>
      <c r="AV295" s="200" t="s">
        <v>1060</v>
      </c>
      <c r="AW295" s="201" t="s">
        <v>1061</v>
      </c>
      <c r="AX295" s="257">
        <v>44927</v>
      </c>
      <c r="AY295" s="257">
        <v>45291</v>
      </c>
      <c r="AZ295" s="200" t="s">
        <v>1062</v>
      </c>
      <c r="BA295" s="200" t="s">
        <v>1063</v>
      </c>
      <c r="BB295" s="344" t="s">
        <v>1488</v>
      </c>
      <c r="BC295" s="202" t="s">
        <v>1658</v>
      </c>
      <c r="BD295" s="427"/>
      <c r="BE295" s="592" t="s">
        <v>1523</v>
      </c>
      <c r="BF295" s="585" t="s">
        <v>1824</v>
      </c>
      <c r="BG295" s="559"/>
    </row>
    <row r="296" spans="1:59" ht="84" customHeight="1">
      <c r="A296" s="437"/>
      <c r="B296" s="483"/>
      <c r="C296" s="441"/>
      <c r="D296" s="488"/>
      <c r="E296" s="217"/>
      <c r="F296" s="217"/>
      <c r="G296" s="265" t="s">
        <v>1019</v>
      </c>
      <c r="H296" s="266" t="s">
        <v>16</v>
      </c>
      <c r="I296" s="266" t="s">
        <v>1021</v>
      </c>
      <c r="J296" s="471"/>
      <c r="K296" s="467"/>
      <c r="L296" s="477"/>
      <c r="M296" s="467"/>
      <c r="N296" s="434"/>
      <c r="O296" s="404" t="s">
        <v>1657</v>
      </c>
      <c r="P296" s="139" t="s">
        <v>186</v>
      </c>
      <c r="Q296" s="231" t="s">
        <v>123</v>
      </c>
      <c r="R296" s="207" t="s">
        <v>116</v>
      </c>
      <c r="S296" s="208">
        <f t="shared" si="169"/>
        <v>15</v>
      </c>
      <c r="T296" s="207" t="s">
        <v>257</v>
      </c>
      <c r="U296" s="208">
        <f t="shared" si="170"/>
        <v>15</v>
      </c>
      <c r="V296" s="207" t="s">
        <v>257</v>
      </c>
      <c r="W296" s="208">
        <f t="shared" si="171"/>
        <v>15</v>
      </c>
      <c r="X296" s="207" t="s">
        <v>20</v>
      </c>
      <c r="Y296" s="208">
        <f t="shared" si="172"/>
        <v>15</v>
      </c>
      <c r="Z296" s="207" t="s">
        <v>257</v>
      </c>
      <c r="AA296" s="208">
        <f t="shared" si="173"/>
        <v>15</v>
      </c>
      <c r="AB296" s="207" t="s">
        <v>257</v>
      </c>
      <c r="AC296" s="208">
        <f t="shared" si="174"/>
        <v>15</v>
      </c>
      <c r="AD296" s="207" t="s">
        <v>117</v>
      </c>
      <c r="AE296" s="208">
        <f t="shared" si="175"/>
        <v>10</v>
      </c>
      <c r="AF296" s="270">
        <f t="shared" si="176"/>
        <v>100</v>
      </c>
      <c r="AG296" s="270" t="str">
        <f t="shared" si="177"/>
        <v>Fuerte</v>
      </c>
      <c r="AH296" s="209" t="s">
        <v>118</v>
      </c>
      <c r="AI296" s="210" t="str">
        <f t="shared" si="178"/>
        <v>Fuerte</v>
      </c>
      <c r="AJ296" s="211" t="str">
        <f>IFERROR(VLOOKUP((CONCATENATE(AG296,AI296)),Listados!$U$3:$V$11,2,FALSE),"")</f>
        <v>Fuerte</v>
      </c>
      <c r="AK296" s="270">
        <f t="shared" si="179"/>
        <v>100</v>
      </c>
      <c r="AL296" s="447"/>
      <c r="AM296" s="449"/>
      <c r="AN296" s="269">
        <f>+IF(AND(Q296="Preventivo",AM295="Fuerte"),2,IF(AND(Q296="Preventivo",AM295="Moderado"),1,0))</f>
        <v>0</v>
      </c>
      <c r="AO296" s="269">
        <f t="shared" si="180"/>
        <v>0</v>
      </c>
      <c r="AP296" s="212">
        <f>+K295-AN296</f>
        <v>2</v>
      </c>
      <c r="AQ296" s="212">
        <f>+M295-AO296</f>
        <v>3</v>
      </c>
      <c r="AR296" s="433"/>
      <c r="AS296" s="433"/>
      <c r="AT296" s="433"/>
      <c r="AU296" s="433"/>
      <c r="AV296" s="559" t="s">
        <v>1064</v>
      </c>
      <c r="AW296" s="559" t="s">
        <v>1061</v>
      </c>
      <c r="AX296" s="629">
        <v>44927</v>
      </c>
      <c r="AY296" s="629">
        <v>45291</v>
      </c>
      <c r="AZ296" s="559" t="s">
        <v>1062</v>
      </c>
      <c r="BA296" s="559" t="s">
        <v>1063</v>
      </c>
      <c r="BB296" s="607" t="s">
        <v>1489</v>
      </c>
      <c r="BC296" s="559" t="s">
        <v>1659</v>
      </c>
      <c r="BD296" s="428"/>
      <c r="BE296" s="562"/>
      <c r="BF296" s="562"/>
      <c r="BG296" s="549"/>
    </row>
    <row r="297" spans="1:59">
      <c r="A297" s="437"/>
      <c r="B297" s="483"/>
      <c r="C297" s="441"/>
      <c r="D297" s="444"/>
      <c r="E297" s="218"/>
      <c r="F297" s="218"/>
      <c r="G297" s="137"/>
      <c r="H297" s="216"/>
      <c r="I297" s="216"/>
      <c r="J297" s="472"/>
      <c r="K297" s="467"/>
      <c r="L297" s="478"/>
      <c r="M297" s="467"/>
      <c r="N297" s="470"/>
      <c r="O297" s="213"/>
      <c r="P297" s="231"/>
      <c r="Q297" s="231"/>
      <c r="R297" s="231"/>
      <c r="S297" s="208" t="str">
        <f t="shared" si="169"/>
        <v/>
      </c>
      <c r="T297" s="231"/>
      <c r="U297" s="208" t="str">
        <f t="shared" si="170"/>
        <v/>
      </c>
      <c r="V297" s="207"/>
      <c r="W297" s="208" t="str">
        <f t="shared" si="171"/>
        <v/>
      </c>
      <c r="X297" s="207"/>
      <c r="Y297" s="208" t="str">
        <f t="shared" si="172"/>
        <v/>
      </c>
      <c r="Z297" s="207"/>
      <c r="AA297" s="208" t="str">
        <f t="shared" si="173"/>
        <v/>
      </c>
      <c r="AB297" s="207"/>
      <c r="AC297" s="208" t="str">
        <f t="shared" si="174"/>
        <v/>
      </c>
      <c r="AD297" s="207"/>
      <c r="AE297" s="208" t="str">
        <f t="shared" si="175"/>
        <v/>
      </c>
      <c r="AF297" s="270" t="str">
        <f t="shared" si="176"/>
        <v/>
      </c>
      <c r="AG297" s="270" t="str">
        <f t="shared" si="177"/>
        <v/>
      </c>
      <c r="AH297" s="209"/>
      <c r="AI297" s="210" t="str">
        <f t="shared" si="178"/>
        <v>Débil</v>
      </c>
      <c r="AJ297" s="211" t="str">
        <f>IFERROR(VLOOKUP((CONCATENATE(AG297,AI297)),Listados!$U$3:$V$11,2,FALSE),"")</f>
        <v/>
      </c>
      <c r="AK297" s="270">
        <f t="shared" si="179"/>
        <v>100</v>
      </c>
      <c r="AL297" s="447"/>
      <c r="AM297" s="449"/>
      <c r="AN297" s="269">
        <f>+IF(AND(Q297="Preventivo",AM295="Fuerte"),2,IF(AND(Q297="Preventivo",AM295="Moderado"),1,0))</f>
        <v>0</v>
      </c>
      <c r="AO297" s="269">
        <f t="shared" si="180"/>
        <v>0</v>
      </c>
      <c r="AP297" s="212">
        <f>+K295-AN297</f>
        <v>2</v>
      </c>
      <c r="AQ297" s="212">
        <f>+M295-AO297</f>
        <v>3</v>
      </c>
      <c r="AR297" s="433"/>
      <c r="AS297" s="433"/>
      <c r="AT297" s="433"/>
      <c r="AU297" s="433"/>
      <c r="AV297" s="549"/>
      <c r="AW297" s="549"/>
      <c r="AX297" s="549"/>
      <c r="AY297" s="549"/>
      <c r="AZ297" s="549"/>
      <c r="BA297" s="549"/>
      <c r="BB297" s="608"/>
      <c r="BC297" s="549"/>
      <c r="BD297" s="428"/>
      <c r="BE297" s="562"/>
      <c r="BF297" s="562"/>
      <c r="BG297" s="549"/>
    </row>
    <row r="298" spans="1:59">
      <c r="A298" s="437"/>
      <c r="B298" s="483"/>
      <c r="C298" s="441"/>
      <c r="D298" s="444"/>
      <c r="E298" s="218"/>
      <c r="F298" s="218"/>
      <c r="G298" s="219"/>
      <c r="H298" s="216"/>
      <c r="I298" s="216"/>
      <c r="J298" s="472"/>
      <c r="K298" s="467"/>
      <c r="L298" s="478"/>
      <c r="M298" s="467"/>
      <c r="N298" s="470"/>
      <c r="O298" s="213"/>
      <c r="P298" s="231"/>
      <c r="Q298" s="231"/>
      <c r="R298" s="231"/>
      <c r="S298" s="208" t="str">
        <f t="shared" ref="S298:S324" si="187">+IF(R298="si",15,"")</f>
        <v/>
      </c>
      <c r="T298" s="231"/>
      <c r="U298" s="208" t="str">
        <f t="shared" ref="U298:U324" si="188">+IF(T298="si",15,"")</f>
        <v/>
      </c>
      <c r="V298" s="207"/>
      <c r="W298" s="208" t="str">
        <f t="shared" ref="W298:W324" si="189">+IF(V298="si",15,"")</f>
        <v/>
      </c>
      <c r="X298" s="207"/>
      <c r="Y298" s="208" t="str">
        <f t="shared" ref="Y298:Y324" si="190">+IF(X298="Preventivo",15,IF(X298="Detectivo",10,""))</f>
        <v/>
      </c>
      <c r="Z298" s="207"/>
      <c r="AA298" s="208" t="str">
        <f t="shared" ref="AA298:AA324" si="191">+IF(Z298="si",15,"")</f>
        <v/>
      </c>
      <c r="AB298" s="207"/>
      <c r="AC298" s="208" t="str">
        <f t="shared" ref="AC298:AC324" si="192">+IF(AB298="si",15,"")</f>
        <v/>
      </c>
      <c r="AD298" s="207"/>
      <c r="AE298" s="208" t="str">
        <f t="shared" ref="AE298:AE324" si="193">+IF(AD298="Completa",10,IF(AD298="Incompleta",5,""))</f>
        <v/>
      </c>
      <c r="AF298" s="270" t="str">
        <f t="shared" ref="AF298:AF324" si="194">IF((SUM(S298,U298,W298,Y298,AA298,AC298,AE298)=0),"",(SUM(S298,U298,W298,Y298,AA298,AC298,AE298)))</f>
        <v/>
      </c>
      <c r="AG298" s="270" t="str">
        <f t="shared" ref="AG298:AG324" si="195">IF(AF298&lt;=85,"Débil",IF(AF298&lt;=95,"Moderado",IF(AF298=100,"Fuerte","")))</f>
        <v/>
      </c>
      <c r="AH298" s="209"/>
      <c r="AI298" s="210" t="str">
        <f t="shared" si="178"/>
        <v>Débil</v>
      </c>
      <c r="AJ298" s="211" t="str">
        <f>IFERROR(VLOOKUP((CONCATENATE(AG298,AI298)),Listados!$U$3:$V$11,2,FALSE),"")</f>
        <v/>
      </c>
      <c r="AK298" s="270">
        <f t="shared" si="179"/>
        <v>100</v>
      </c>
      <c r="AL298" s="447"/>
      <c r="AM298" s="449"/>
      <c r="AN298" s="269">
        <f>+IF(AND(Q298="Preventivo",AM295="Fuerte"),2,IF(AND(Q298="Preventivo",AM295="Moderado"),1,0))</f>
        <v>0</v>
      </c>
      <c r="AO298" s="269">
        <f t="shared" si="180"/>
        <v>0</v>
      </c>
      <c r="AP298" s="212">
        <f>+K295-AN298</f>
        <v>2</v>
      </c>
      <c r="AQ298" s="212">
        <f>+M295-AO298</f>
        <v>3</v>
      </c>
      <c r="AR298" s="433"/>
      <c r="AS298" s="433"/>
      <c r="AT298" s="433"/>
      <c r="AU298" s="433"/>
      <c r="AV298" s="549"/>
      <c r="AW298" s="549"/>
      <c r="AX298" s="549"/>
      <c r="AY298" s="549"/>
      <c r="AZ298" s="549"/>
      <c r="BA298" s="549"/>
      <c r="BB298" s="608"/>
      <c r="BC298" s="549"/>
      <c r="BD298" s="428"/>
      <c r="BE298" s="562"/>
      <c r="BF298" s="562"/>
      <c r="BG298" s="549"/>
    </row>
    <row r="299" spans="1:59">
      <c r="A299" s="437"/>
      <c r="B299" s="483"/>
      <c r="C299" s="441"/>
      <c r="D299" s="444"/>
      <c r="E299" s="220"/>
      <c r="F299" s="220"/>
      <c r="G299" s="221"/>
      <c r="H299" s="222"/>
      <c r="I299" s="216"/>
      <c r="J299" s="472"/>
      <c r="K299" s="467"/>
      <c r="L299" s="478"/>
      <c r="M299" s="467"/>
      <c r="N299" s="470"/>
      <c r="O299" s="213"/>
      <c r="P299" s="231"/>
      <c r="Q299" s="231"/>
      <c r="R299" s="231"/>
      <c r="S299" s="208" t="str">
        <f t="shared" si="187"/>
        <v/>
      </c>
      <c r="T299" s="231"/>
      <c r="U299" s="208" t="str">
        <f t="shared" si="188"/>
        <v/>
      </c>
      <c r="V299" s="207"/>
      <c r="W299" s="208" t="str">
        <f t="shared" si="189"/>
        <v/>
      </c>
      <c r="X299" s="207"/>
      <c r="Y299" s="208" t="str">
        <f t="shared" si="190"/>
        <v/>
      </c>
      <c r="Z299" s="207"/>
      <c r="AA299" s="208" t="str">
        <f t="shared" si="191"/>
        <v/>
      </c>
      <c r="AB299" s="207"/>
      <c r="AC299" s="208" t="str">
        <f t="shared" si="192"/>
        <v/>
      </c>
      <c r="AD299" s="207"/>
      <c r="AE299" s="208" t="str">
        <f t="shared" si="193"/>
        <v/>
      </c>
      <c r="AF299" s="270" t="str">
        <f t="shared" si="194"/>
        <v/>
      </c>
      <c r="AG299" s="270" t="str">
        <f t="shared" si="195"/>
        <v/>
      </c>
      <c r="AH299" s="209"/>
      <c r="AI299" s="210" t="str">
        <f t="shared" ref="AI299:AI324" si="196">+IF(AH299="siempre","Fuerte",IF(AH299="Algunas veces","Moderado","Débil"))</f>
        <v>Débil</v>
      </c>
      <c r="AJ299" s="211" t="str">
        <f>IFERROR(VLOOKUP((CONCATENATE(AG299,AI299)),Listados!$U$3:$V$11,2,FALSE),"")</f>
        <v/>
      </c>
      <c r="AK299" s="270">
        <f t="shared" ref="AK299:AK324" si="197">IF(ISBLANK(AJ299),"",IF(AJ299="Débil", 0, IF(AJ299="Moderado",50,100)))</f>
        <v>100</v>
      </c>
      <c r="AL299" s="447"/>
      <c r="AM299" s="449"/>
      <c r="AN299" s="269">
        <f>+IF(AND(Q299="Preventivo",AM295="Fuerte"),2,IF(AND(Q299="Preventivo",AM295="Moderado"),1,0))</f>
        <v>0</v>
      </c>
      <c r="AO299" s="269">
        <f t="shared" si="180"/>
        <v>0</v>
      </c>
      <c r="AP299" s="212">
        <f>+K295-AN299</f>
        <v>2</v>
      </c>
      <c r="AQ299" s="212">
        <f>+M295-AO299</f>
        <v>3</v>
      </c>
      <c r="AR299" s="433"/>
      <c r="AS299" s="433"/>
      <c r="AT299" s="433"/>
      <c r="AU299" s="433"/>
      <c r="AV299" s="549"/>
      <c r="AW299" s="549"/>
      <c r="AX299" s="549"/>
      <c r="AY299" s="549"/>
      <c r="AZ299" s="549"/>
      <c r="BA299" s="549"/>
      <c r="BB299" s="608"/>
      <c r="BC299" s="549"/>
      <c r="BD299" s="428"/>
      <c r="BE299" s="562"/>
      <c r="BF299" s="562"/>
      <c r="BG299" s="549"/>
    </row>
    <row r="300" spans="1:59" ht="14.5" thickBot="1">
      <c r="A300" s="438"/>
      <c r="B300" s="483"/>
      <c r="C300" s="442"/>
      <c r="D300" s="445"/>
      <c r="E300" s="223"/>
      <c r="F300" s="223"/>
      <c r="G300" s="224"/>
      <c r="H300" s="225"/>
      <c r="I300" s="216"/>
      <c r="J300" s="472"/>
      <c r="K300" s="468"/>
      <c r="L300" s="478"/>
      <c r="M300" s="468"/>
      <c r="N300" s="470"/>
      <c r="O300" s="213"/>
      <c r="P300" s="231"/>
      <c r="Q300" s="231"/>
      <c r="R300" s="231"/>
      <c r="S300" s="208" t="str">
        <f t="shared" si="187"/>
        <v/>
      </c>
      <c r="T300" s="231"/>
      <c r="U300" s="208" t="str">
        <f t="shared" si="188"/>
        <v/>
      </c>
      <c r="V300" s="207"/>
      <c r="W300" s="208" t="str">
        <f t="shared" si="189"/>
        <v/>
      </c>
      <c r="X300" s="207"/>
      <c r="Y300" s="208" t="str">
        <f t="shared" si="190"/>
        <v/>
      </c>
      <c r="Z300" s="207"/>
      <c r="AA300" s="208" t="str">
        <f t="shared" si="191"/>
        <v/>
      </c>
      <c r="AB300" s="207"/>
      <c r="AC300" s="208" t="str">
        <f t="shared" si="192"/>
        <v/>
      </c>
      <c r="AD300" s="207"/>
      <c r="AE300" s="208" t="str">
        <f t="shared" si="193"/>
        <v/>
      </c>
      <c r="AF300" s="270" t="str">
        <f t="shared" si="194"/>
        <v/>
      </c>
      <c r="AG300" s="270" t="str">
        <f t="shared" si="195"/>
        <v/>
      </c>
      <c r="AH300" s="209"/>
      <c r="AI300" s="210" t="str">
        <f t="shared" si="196"/>
        <v>Débil</v>
      </c>
      <c r="AJ300" s="211" t="str">
        <f>IFERROR(VLOOKUP((CONCATENATE(AG300,AI300)),Listados!$U$3:$V$11,2,FALSE),"")</f>
        <v/>
      </c>
      <c r="AK300" s="270">
        <f t="shared" si="197"/>
        <v>100</v>
      </c>
      <c r="AL300" s="448"/>
      <c r="AM300" s="449"/>
      <c r="AN300" s="269">
        <f>+IF(AND(Q300="Preventivo",AM295="Fuerte"),2,IF(AND(Q300="Preventivo",AM295="Moderado"),1,0))</f>
        <v>0</v>
      </c>
      <c r="AO300" s="269">
        <f t="shared" si="180"/>
        <v>0</v>
      </c>
      <c r="AP300" s="212">
        <f>+K295-AN300</f>
        <v>2</v>
      </c>
      <c r="AQ300" s="212">
        <f>+M295-AO300</f>
        <v>3</v>
      </c>
      <c r="AR300" s="434"/>
      <c r="AS300" s="434"/>
      <c r="AT300" s="434"/>
      <c r="AU300" s="434"/>
      <c r="AV300" s="550"/>
      <c r="AW300" s="550"/>
      <c r="AX300" s="550"/>
      <c r="AY300" s="550"/>
      <c r="AZ300" s="550"/>
      <c r="BA300" s="550"/>
      <c r="BB300" s="609"/>
      <c r="BC300" s="550"/>
      <c r="BD300" s="429"/>
      <c r="BE300" s="563"/>
      <c r="BF300" s="563"/>
      <c r="BG300" s="550"/>
    </row>
    <row r="301" spans="1:59" ht="129" customHeight="1">
      <c r="A301" s="436">
        <v>51</v>
      </c>
      <c r="B301" s="482" t="s">
        <v>89</v>
      </c>
      <c r="C301" s="440" t="str">
        <f>IFERROR(VLOOKUP(B301,Listados!B$3:C$20,2,FALSE),"")</f>
        <v>Optimizar la operación de los procesos del MJD, mediante la gestión efectiva de los recursos tecnológicos, con el fin de brindar una adecuada disponibilidad de los servicios informáticos que soportan la operación del Ministerio, aplicando las iniciativas estratégicas definidas en las arquitecturas de la organización de TI, información, aplicaciones y tecnológicas. </v>
      </c>
      <c r="D301" s="443" t="s">
        <v>1311</v>
      </c>
      <c r="E301" s="226" t="s">
        <v>15</v>
      </c>
      <c r="F301" s="226" t="s">
        <v>189</v>
      </c>
      <c r="G301" s="228" t="s">
        <v>1025</v>
      </c>
      <c r="H301" s="227" t="s">
        <v>30</v>
      </c>
      <c r="I301" s="227" t="s">
        <v>1026</v>
      </c>
      <c r="J301" s="471" t="s">
        <v>44</v>
      </c>
      <c r="K301" s="466">
        <f>+VLOOKUP(J301,Listados!$K$8:$L$12,2,0)</f>
        <v>3</v>
      </c>
      <c r="L301" s="477" t="s">
        <v>36</v>
      </c>
      <c r="M301" s="466">
        <f>+VLOOKUP(L301,Listados!$K$13:$L$17,2,0)</f>
        <v>3</v>
      </c>
      <c r="N301" s="434" t="str">
        <f>IF(AND(J301&lt;&gt;"",L301&lt;&gt;""),VLOOKUP(J301&amp;L301,Listados!$M$3:$N$27,2,FALSE),"")</f>
        <v>Alto</v>
      </c>
      <c r="O301" s="213" t="s">
        <v>1027</v>
      </c>
      <c r="P301" s="139" t="s">
        <v>1025</v>
      </c>
      <c r="Q301" s="231" t="s">
        <v>20</v>
      </c>
      <c r="R301" s="231" t="s">
        <v>116</v>
      </c>
      <c r="S301" s="208">
        <f t="shared" si="187"/>
        <v>15</v>
      </c>
      <c r="T301" s="231" t="s">
        <v>116</v>
      </c>
      <c r="U301" s="208">
        <f t="shared" si="188"/>
        <v>15</v>
      </c>
      <c r="V301" s="207" t="s">
        <v>116</v>
      </c>
      <c r="W301" s="208">
        <f t="shared" si="189"/>
        <v>15</v>
      </c>
      <c r="X301" s="207" t="s">
        <v>20</v>
      </c>
      <c r="Y301" s="208">
        <f t="shared" si="190"/>
        <v>15</v>
      </c>
      <c r="Z301" s="207" t="s">
        <v>116</v>
      </c>
      <c r="AA301" s="208">
        <f t="shared" si="191"/>
        <v>15</v>
      </c>
      <c r="AB301" s="207" t="s">
        <v>116</v>
      </c>
      <c r="AC301" s="208">
        <f t="shared" si="192"/>
        <v>15</v>
      </c>
      <c r="AD301" s="207" t="s">
        <v>117</v>
      </c>
      <c r="AE301" s="208">
        <f t="shared" si="193"/>
        <v>10</v>
      </c>
      <c r="AF301" s="270">
        <f t="shared" si="194"/>
        <v>100</v>
      </c>
      <c r="AG301" s="270" t="str">
        <f t="shared" si="195"/>
        <v>Fuerte</v>
      </c>
      <c r="AH301" s="209" t="s">
        <v>118</v>
      </c>
      <c r="AI301" s="210" t="str">
        <f t="shared" si="196"/>
        <v>Fuerte</v>
      </c>
      <c r="AJ301" s="211" t="str">
        <f>IFERROR(VLOOKUP((CONCATENATE(AG301,AI301)),Listados!$U$3:$V$11,2,FALSE),"")</f>
        <v>Fuerte</v>
      </c>
      <c r="AK301" s="270">
        <f t="shared" si="197"/>
        <v>100</v>
      </c>
      <c r="AL301" s="446">
        <f>AVERAGE(AK301:AK306)</f>
        <v>100</v>
      </c>
      <c r="AM301" s="448" t="str">
        <f>IF(AL301&lt;=50, "Débil", IF(AL301&lt;=99,"Moderado","Fuerte"))</f>
        <v>Fuerte</v>
      </c>
      <c r="AN301" s="269">
        <f>+IF(AND(Q301="Preventivo",AM301="Fuerte"),2,IF(AND(Q301="Preventivo",AM301="Moderado"),1,0))</f>
        <v>2</v>
      </c>
      <c r="AO301" s="269">
        <f t="shared" si="180"/>
        <v>0</v>
      </c>
      <c r="AP301" s="212">
        <f>+K301-AN301</f>
        <v>1</v>
      </c>
      <c r="AQ301" s="212">
        <f>+M301-AO301</f>
        <v>3</v>
      </c>
      <c r="AR301" s="435" t="str">
        <f>+VLOOKUP(MIN(AP301,AP302,AP303,AP304,AP305,AP306),Listados!$J$18:$K$24,2,TRUE)</f>
        <v>Rara Vez</v>
      </c>
      <c r="AS301" s="435" t="str">
        <f>+VLOOKUP(MIN(AQ301,AQ302,AQ303,AQ304,AQ305,AQ306),Listados!$J$27:$K$32,2,TRUE)</f>
        <v>Moderado</v>
      </c>
      <c r="AT301" s="435" t="str">
        <f>IF(AND(AR301&lt;&gt;"",AS301&lt;&gt;""),VLOOKUP(AR301&amp;AS301,Listados!$M$3:$N$27,2,FALSE),"")</f>
        <v>Moderado</v>
      </c>
      <c r="AU301" s="435" t="str">
        <f>+VLOOKUP(AT301,Listados!$P$3:$Q$6,2,FALSE)</f>
        <v xml:space="preserve"> Reducir el riesgo</v>
      </c>
      <c r="AV301" s="545" t="s">
        <v>1181</v>
      </c>
      <c r="AW301" s="585" t="s">
        <v>1157</v>
      </c>
      <c r="AX301" s="585" t="s">
        <v>1046</v>
      </c>
      <c r="AY301" s="585" t="s">
        <v>1046</v>
      </c>
      <c r="AZ301" s="585" t="s">
        <v>1182</v>
      </c>
      <c r="BA301" s="585" t="s">
        <v>1183</v>
      </c>
      <c r="BB301" s="589" t="s">
        <v>1406</v>
      </c>
      <c r="BC301" s="585" t="s">
        <v>1654</v>
      </c>
      <c r="BD301" s="585"/>
      <c r="BE301" s="556" t="s">
        <v>1531</v>
      </c>
      <c r="BF301" s="585" t="s">
        <v>1820</v>
      </c>
      <c r="BG301" s="585"/>
    </row>
    <row r="302" spans="1:59" ht="29.25" customHeight="1">
      <c r="A302" s="437"/>
      <c r="B302" s="483"/>
      <c r="C302" s="441"/>
      <c r="D302" s="444"/>
      <c r="E302" s="218"/>
      <c r="F302" s="218"/>
      <c r="G302" s="137"/>
      <c r="H302" s="216"/>
      <c r="I302" s="216"/>
      <c r="J302" s="472"/>
      <c r="K302" s="467"/>
      <c r="L302" s="478"/>
      <c r="M302" s="467"/>
      <c r="N302" s="470"/>
      <c r="O302" s="213" t="s">
        <v>467</v>
      </c>
      <c r="P302" s="231"/>
      <c r="Q302" s="231"/>
      <c r="R302" s="231"/>
      <c r="S302" s="208" t="str">
        <f t="shared" si="187"/>
        <v/>
      </c>
      <c r="T302" s="231"/>
      <c r="U302" s="208" t="str">
        <f t="shared" si="188"/>
        <v/>
      </c>
      <c r="V302" s="207"/>
      <c r="W302" s="208" t="str">
        <f t="shared" si="189"/>
        <v/>
      </c>
      <c r="X302" s="207"/>
      <c r="Y302" s="208" t="str">
        <f t="shared" si="190"/>
        <v/>
      </c>
      <c r="Z302" s="207"/>
      <c r="AA302" s="208" t="str">
        <f t="shared" si="191"/>
        <v/>
      </c>
      <c r="AB302" s="207"/>
      <c r="AC302" s="208" t="str">
        <f t="shared" si="192"/>
        <v/>
      </c>
      <c r="AD302" s="207"/>
      <c r="AE302" s="208" t="str">
        <f t="shared" si="193"/>
        <v/>
      </c>
      <c r="AF302" s="270" t="str">
        <f t="shared" si="194"/>
        <v/>
      </c>
      <c r="AG302" s="270" t="str">
        <f t="shared" si="195"/>
        <v/>
      </c>
      <c r="AH302" s="209"/>
      <c r="AI302" s="210" t="str">
        <f t="shared" si="196"/>
        <v>Débil</v>
      </c>
      <c r="AJ302" s="211" t="str">
        <f>IFERROR(VLOOKUP((CONCATENATE(AG302,AI302)),Listados!$U$3:$V$11,2,FALSE),"")</f>
        <v/>
      </c>
      <c r="AK302" s="270">
        <f t="shared" si="197"/>
        <v>100</v>
      </c>
      <c r="AL302" s="447"/>
      <c r="AM302" s="449"/>
      <c r="AN302" s="269">
        <f>+IF(AND(Q302="Preventivo",AM301="Fuerte"),2,IF(AND(Q302="Preventivo",AM301="Moderado"),1,0))</f>
        <v>0</v>
      </c>
      <c r="AO302" s="269">
        <f t="shared" si="180"/>
        <v>0</v>
      </c>
      <c r="AP302" s="212">
        <f>+K301-AN302</f>
        <v>3</v>
      </c>
      <c r="AQ302" s="212">
        <f>+M301-AO302</f>
        <v>3</v>
      </c>
      <c r="AR302" s="433"/>
      <c r="AS302" s="433"/>
      <c r="AT302" s="433"/>
      <c r="AU302" s="433"/>
      <c r="AV302" s="546"/>
      <c r="AW302" s="562"/>
      <c r="AX302" s="562"/>
      <c r="AY302" s="562"/>
      <c r="AZ302" s="562"/>
      <c r="BA302" s="562"/>
      <c r="BB302" s="590"/>
      <c r="BC302" s="562"/>
      <c r="BD302" s="562"/>
      <c r="BE302" s="557"/>
      <c r="BF302" s="562"/>
      <c r="BG302" s="562"/>
    </row>
    <row r="303" spans="1:59" ht="29.25" customHeight="1">
      <c r="A303" s="437"/>
      <c r="B303" s="483"/>
      <c r="C303" s="441"/>
      <c r="D303" s="444"/>
      <c r="E303" s="218"/>
      <c r="F303" s="218"/>
      <c r="G303" s="137"/>
      <c r="H303" s="216"/>
      <c r="I303" s="216"/>
      <c r="J303" s="472"/>
      <c r="K303" s="467"/>
      <c r="L303" s="478"/>
      <c r="M303" s="467"/>
      <c r="N303" s="470"/>
      <c r="O303" s="213" t="s">
        <v>467</v>
      </c>
      <c r="P303" s="231"/>
      <c r="Q303" s="231"/>
      <c r="R303" s="231"/>
      <c r="S303" s="208" t="str">
        <f t="shared" si="187"/>
        <v/>
      </c>
      <c r="T303" s="231"/>
      <c r="U303" s="208" t="str">
        <f t="shared" si="188"/>
        <v/>
      </c>
      <c r="V303" s="207"/>
      <c r="W303" s="208" t="str">
        <f t="shared" si="189"/>
        <v/>
      </c>
      <c r="X303" s="207"/>
      <c r="Y303" s="208" t="str">
        <f t="shared" si="190"/>
        <v/>
      </c>
      <c r="Z303" s="207"/>
      <c r="AA303" s="208" t="str">
        <f t="shared" si="191"/>
        <v/>
      </c>
      <c r="AB303" s="207"/>
      <c r="AC303" s="208" t="str">
        <f t="shared" si="192"/>
        <v/>
      </c>
      <c r="AD303" s="207"/>
      <c r="AE303" s="208" t="str">
        <f t="shared" si="193"/>
        <v/>
      </c>
      <c r="AF303" s="270" t="str">
        <f t="shared" si="194"/>
        <v/>
      </c>
      <c r="AG303" s="270" t="str">
        <f t="shared" si="195"/>
        <v/>
      </c>
      <c r="AH303" s="209"/>
      <c r="AI303" s="210" t="str">
        <f t="shared" si="196"/>
        <v>Débil</v>
      </c>
      <c r="AJ303" s="211" t="str">
        <f>IFERROR(VLOOKUP((CONCATENATE(AG303,AI303)),Listados!$U$3:$V$11,2,FALSE),"")</f>
        <v/>
      </c>
      <c r="AK303" s="270">
        <f t="shared" si="197"/>
        <v>100</v>
      </c>
      <c r="AL303" s="447"/>
      <c r="AM303" s="449"/>
      <c r="AN303" s="269">
        <f>+IF(AND(Q303="Preventivo",AM301="Fuerte"),2,IF(AND(Q303="Preventivo",AM301="Moderado"),1,0))</f>
        <v>0</v>
      </c>
      <c r="AO303" s="269">
        <f t="shared" si="180"/>
        <v>0</v>
      </c>
      <c r="AP303" s="212">
        <f>+K301-AN303</f>
        <v>3</v>
      </c>
      <c r="AQ303" s="212">
        <f>+M301-AO303</f>
        <v>3</v>
      </c>
      <c r="AR303" s="433"/>
      <c r="AS303" s="433"/>
      <c r="AT303" s="433"/>
      <c r="AU303" s="433"/>
      <c r="AV303" s="546"/>
      <c r="AW303" s="562"/>
      <c r="AX303" s="562"/>
      <c r="AY303" s="562"/>
      <c r="AZ303" s="562"/>
      <c r="BA303" s="562"/>
      <c r="BB303" s="590"/>
      <c r="BC303" s="562"/>
      <c r="BD303" s="562"/>
      <c r="BE303" s="557"/>
      <c r="BF303" s="562"/>
      <c r="BG303" s="562"/>
    </row>
    <row r="304" spans="1:59" ht="29.25" customHeight="1">
      <c r="A304" s="437"/>
      <c r="B304" s="483"/>
      <c r="C304" s="441"/>
      <c r="D304" s="444"/>
      <c r="E304" s="218"/>
      <c r="F304" s="218"/>
      <c r="G304" s="219"/>
      <c r="H304" s="216"/>
      <c r="I304" s="216"/>
      <c r="J304" s="472"/>
      <c r="K304" s="467"/>
      <c r="L304" s="478"/>
      <c r="M304" s="467"/>
      <c r="N304" s="470"/>
      <c r="O304" s="213" t="s">
        <v>467</v>
      </c>
      <c r="P304" s="231"/>
      <c r="Q304" s="231"/>
      <c r="R304" s="231"/>
      <c r="S304" s="208" t="str">
        <f t="shared" si="187"/>
        <v/>
      </c>
      <c r="T304" s="231"/>
      <c r="U304" s="208" t="str">
        <f t="shared" si="188"/>
        <v/>
      </c>
      <c r="V304" s="207"/>
      <c r="W304" s="208" t="str">
        <f t="shared" si="189"/>
        <v/>
      </c>
      <c r="X304" s="207"/>
      <c r="Y304" s="208" t="str">
        <f t="shared" si="190"/>
        <v/>
      </c>
      <c r="Z304" s="207"/>
      <c r="AA304" s="208" t="str">
        <f t="shared" si="191"/>
        <v/>
      </c>
      <c r="AB304" s="207"/>
      <c r="AC304" s="208" t="str">
        <f t="shared" si="192"/>
        <v/>
      </c>
      <c r="AD304" s="207"/>
      <c r="AE304" s="208" t="str">
        <f t="shared" si="193"/>
        <v/>
      </c>
      <c r="AF304" s="270" t="str">
        <f t="shared" si="194"/>
        <v/>
      </c>
      <c r="AG304" s="270" t="str">
        <f t="shared" si="195"/>
        <v/>
      </c>
      <c r="AH304" s="209"/>
      <c r="AI304" s="210" t="str">
        <f t="shared" si="196"/>
        <v>Débil</v>
      </c>
      <c r="AJ304" s="211" t="str">
        <f>IFERROR(VLOOKUP((CONCATENATE(AG304,AI304)),Listados!$U$3:$V$11,2,FALSE),"")</f>
        <v/>
      </c>
      <c r="AK304" s="270">
        <f t="shared" si="197"/>
        <v>100</v>
      </c>
      <c r="AL304" s="447"/>
      <c r="AM304" s="449"/>
      <c r="AN304" s="269">
        <f>+IF(AND(Q304="Preventivo",AM301="Fuerte"),2,IF(AND(Q304="Preventivo",AM301="Moderado"),1,0))</f>
        <v>0</v>
      </c>
      <c r="AO304" s="269">
        <f t="shared" ref="AO304:AO324" si="198">+IF(AND(Q304="Detectivo",$AM$7="Fuerte"),2,IF(AND(Q304="Detectivo",$AM$7="Moderado"),1,IF(AND(Q304="Preventivo",$AM$7="Fuerte"),1,0)))</f>
        <v>0</v>
      </c>
      <c r="AP304" s="212">
        <f>+K301-AN304</f>
        <v>3</v>
      </c>
      <c r="AQ304" s="212">
        <f>+M301-AO304</f>
        <v>3</v>
      </c>
      <c r="AR304" s="433"/>
      <c r="AS304" s="433"/>
      <c r="AT304" s="433"/>
      <c r="AU304" s="433"/>
      <c r="AV304" s="546"/>
      <c r="AW304" s="562"/>
      <c r="AX304" s="562"/>
      <c r="AY304" s="562"/>
      <c r="AZ304" s="562"/>
      <c r="BA304" s="562"/>
      <c r="BB304" s="590"/>
      <c r="BC304" s="562"/>
      <c r="BD304" s="562"/>
      <c r="BE304" s="557"/>
      <c r="BF304" s="562"/>
      <c r="BG304" s="562"/>
    </row>
    <row r="305" spans="1:59" ht="29.25" customHeight="1">
      <c r="A305" s="437"/>
      <c r="B305" s="483"/>
      <c r="C305" s="441"/>
      <c r="D305" s="444"/>
      <c r="E305" s="220"/>
      <c r="F305" s="220"/>
      <c r="G305" s="221"/>
      <c r="H305" s="222"/>
      <c r="I305" s="216"/>
      <c r="J305" s="472"/>
      <c r="K305" s="467"/>
      <c r="L305" s="478"/>
      <c r="M305" s="467"/>
      <c r="N305" s="470"/>
      <c r="O305" s="213" t="s">
        <v>467</v>
      </c>
      <c r="P305" s="231"/>
      <c r="Q305" s="231"/>
      <c r="R305" s="231"/>
      <c r="S305" s="208" t="str">
        <f t="shared" si="187"/>
        <v/>
      </c>
      <c r="T305" s="231"/>
      <c r="U305" s="208" t="str">
        <f t="shared" si="188"/>
        <v/>
      </c>
      <c r="V305" s="207"/>
      <c r="W305" s="208" t="str">
        <f t="shared" si="189"/>
        <v/>
      </c>
      <c r="X305" s="207"/>
      <c r="Y305" s="208" t="str">
        <f t="shared" si="190"/>
        <v/>
      </c>
      <c r="Z305" s="207"/>
      <c r="AA305" s="208" t="str">
        <f t="shared" si="191"/>
        <v/>
      </c>
      <c r="AB305" s="207"/>
      <c r="AC305" s="208" t="str">
        <f t="shared" si="192"/>
        <v/>
      </c>
      <c r="AD305" s="207"/>
      <c r="AE305" s="208" t="str">
        <f t="shared" si="193"/>
        <v/>
      </c>
      <c r="AF305" s="270" t="str">
        <f t="shared" si="194"/>
        <v/>
      </c>
      <c r="AG305" s="270" t="str">
        <f t="shared" si="195"/>
        <v/>
      </c>
      <c r="AH305" s="209"/>
      <c r="AI305" s="210" t="str">
        <f t="shared" si="196"/>
        <v>Débil</v>
      </c>
      <c r="AJ305" s="211" t="str">
        <f>IFERROR(VLOOKUP((CONCATENATE(AG305,AI305)),Listados!$U$3:$V$11,2,FALSE),"")</f>
        <v/>
      </c>
      <c r="AK305" s="270">
        <f t="shared" si="197"/>
        <v>100</v>
      </c>
      <c r="AL305" s="447"/>
      <c r="AM305" s="449"/>
      <c r="AN305" s="269">
        <f>+IF(AND(Q305="Preventivo",AM301="Fuerte"),2,IF(AND(Q305="Preventivo",AM301="Moderado"),1,0))</f>
        <v>0</v>
      </c>
      <c r="AO305" s="269">
        <f t="shared" si="198"/>
        <v>0</v>
      </c>
      <c r="AP305" s="212">
        <f>+K301-AN305</f>
        <v>3</v>
      </c>
      <c r="AQ305" s="212">
        <f>+M301-AO305</f>
        <v>3</v>
      </c>
      <c r="AR305" s="433"/>
      <c r="AS305" s="433"/>
      <c r="AT305" s="433"/>
      <c r="AU305" s="433"/>
      <c r="AV305" s="546"/>
      <c r="AW305" s="562"/>
      <c r="AX305" s="562"/>
      <c r="AY305" s="562"/>
      <c r="AZ305" s="562"/>
      <c r="BA305" s="562"/>
      <c r="BB305" s="590"/>
      <c r="BC305" s="562"/>
      <c r="BD305" s="562"/>
      <c r="BE305" s="557"/>
      <c r="BF305" s="562"/>
      <c r="BG305" s="562"/>
    </row>
    <row r="306" spans="1:59" ht="29.25" customHeight="1" thickBot="1">
      <c r="A306" s="438"/>
      <c r="B306" s="483"/>
      <c r="C306" s="442"/>
      <c r="D306" s="445"/>
      <c r="E306" s="223"/>
      <c r="F306" s="223"/>
      <c r="G306" s="224"/>
      <c r="H306" s="261"/>
      <c r="I306" s="261"/>
      <c r="J306" s="473"/>
      <c r="K306" s="468"/>
      <c r="L306" s="479"/>
      <c r="M306" s="468"/>
      <c r="N306" s="484"/>
      <c r="O306" s="213" t="s">
        <v>467</v>
      </c>
      <c r="P306" s="231"/>
      <c r="Q306" s="231"/>
      <c r="R306" s="231"/>
      <c r="S306" s="208" t="str">
        <f t="shared" si="187"/>
        <v/>
      </c>
      <c r="T306" s="231"/>
      <c r="U306" s="208" t="str">
        <f t="shared" si="188"/>
        <v/>
      </c>
      <c r="V306" s="207"/>
      <c r="W306" s="208" t="str">
        <f t="shared" si="189"/>
        <v/>
      </c>
      <c r="X306" s="207"/>
      <c r="Y306" s="208" t="str">
        <f t="shared" si="190"/>
        <v/>
      </c>
      <c r="Z306" s="207"/>
      <c r="AA306" s="208" t="str">
        <f t="shared" si="191"/>
        <v/>
      </c>
      <c r="AB306" s="207"/>
      <c r="AC306" s="208" t="str">
        <f t="shared" si="192"/>
        <v/>
      </c>
      <c r="AD306" s="207"/>
      <c r="AE306" s="208" t="str">
        <f t="shared" si="193"/>
        <v/>
      </c>
      <c r="AF306" s="270" t="str">
        <f t="shared" si="194"/>
        <v/>
      </c>
      <c r="AG306" s="270" t="str">
        <f t="shared" si="195"/>
        <v/>
      </c>
      <c r="AH306" s="209"/>
      <c r="AI306" s="210" t="str">
        <f t="shared" si="196"/>
        <v>Débil</v>
      </c>
      <c r="AJ306" s="211" t="str">
        <f>IFERROR(VLOOKUP((CONCATENATE(AG306,AI306)),Listados!$U$3:$V$11,2,FALSE),"")</f>
        <v/>
      </c>
      <c r="AK306" s="270">
        <f t="shared" si="197"/>
        <v>100</v>
      </c>
      <c r="AL306" s="448"/>
      <c r="AM306" s="449"/>
      <c r="AN306" s="269">
        <f>+IF(AND(Q306="Preventivo",AM301="Fuerte"),2,IF(AND(Q306="Preventivo",AM301="Moderado"),1,0))</f>
        <v>0</v>
      </c>
      <c r="AO306" s="269">
        <f t="shared" si="198"/>
        <v>0</v>
      </c>
      <c r="AP306" s="212">
        <f>+K301-AN306</f>
        <v>3</v>
      </c>
      <c r="AQ306" s="212">
        <f>+M301-AO306</f>
        <v>3</v>
      </c>
      <c r="AR306" s="434"/>
      <c r="AS306" s="434"/>
      <c r="AT306" s="434"/>
      <c r="AU306" s="434"/>
      <c r="AV306" s="547"/>
      <c r="AW306" s="563"/>
      <c r="AX306" s="563"/>
      <c r="AY306" s="563"/>
      <c r="AZ306" s="563"/>
      <c r="BA306" s="563"/>
      <c r="BB306" s="591"/>
      <c r="BC306" s="563"/>
      <c r="BD306" s="563"/>
      <c r="BE306" s="558"/>
      <c r="BF306" s="563"/>
      <c r="BG306" s="563"/>
    </row>
    <row r="307" spans="1:59" ht="188.15" customHeight="1">
      <c r="A307" s="436">
        <v>52</v>
      </c>
      <c r="B307" s="482" t="s">
        <v>79</v>
      </c>
      <c r="C307" s="440" t="str">
        <f>IFERROR(VLOOKUP(B307,Listados!B$3:C$20,2,FALSE),"")</f>
        <v>Fortalecer el Principio Constitucional de Seguridad Jurídica mediante la defensa del Ordenamiento Jurídico, la formulación de lineamientos o metodologías para desarrollar procesos de depuración del Ordenamiento Jurídico y la divulgación normativa a través de la administración funcional del sistema SUIN-JURISCOL.</v>
      </c>
      <c r="D307" s="443" t="s">
        <v>1676</v>
      </c>
      <c r="E307" s="245" t="s">
        <v>15</v>
      </c>
      <c r="F307" s="245" t="s">
        <v>177</v>
      </c>
      <c r="G307" s="229" t="s">
        <v>1066</v>
      </c>
      <c r="H307" s="229" t="s">
        <v>16</v>
      </c>
      <c r="I307" s="229" t="s">
        <v>1067</v>
      </c>
      <c r="J307" s="480" t="s">
        <v>31</v>
      </c>
      <c r="K307" s="466">
        <f>+VLOOKUP(J307,Listados!$K$8:$L$12,2,0)</f>
        <v>2</v>
      </c>
      <c r="L307" s="481" t="s">
        <v>36</v>
      </c>
      <c r="M307" s="466">
        <f>+VLOOKUP(L307,Listados!$K$13:$L$17,2,0)</f>
        <v>3</v>
      </c>
      <c r="N307" s="469" t="str">
        <f>IF(AND(J307&lt;&gt;"",L307&lt;&gt;""),VLOOKUP(J307&amp;L307,Listados!$M$3:$N$27,2,FALSE),"")</f>
        <v>Moderado</v>
      </c>
      <c r="O307" s="405" t="s">
        <v>1207</v>
      </c>
      <c r="P307" s="139" t="s">
        <v>1066</v>
      </c>
      <c r="Q307" s="231" t="s">
        <v>20</v>
      </c>
      <c r="R307" s="231" t="s">
        <v>116</v>
      </c>
      <c r="S307" s="208">
        <f t="shared" si="187"/>
        <v>15</v>
      </c>
      <c r="T307" s="231" t="s">
        <v>257</v>
      </c>
      <c r="U307" s="208">
        <f t="shared" si="188"/>
        <v>15</v>
      </c>
      <c r="V307" s="207" t="s">
        <v>257</v>
      </c>
      <c r="W307" s="208">
        <f t="shared" si="189"/>
        <v>15</v>
      </c>
      <c r="X307" s="207" t="s">
        <v>20</v>
      </c>
      <c r="Y307" s="208">
        <f t="shared" si="190"/>
        <v>15</v>
      </c>
      <c r="Z307" s="207" t="s">
        <v>257</v>
      </c>
      <c r="AA307" s="208">
        <f t="shared" si="191"/>
        <v>15</v>
      </c>
      <c r="AB307" s="207" t="s">
        <v>257</v>
      </c>
      <c r="AC307" s="208">
        <f t="shared" si="192"/>
        <v>15</v>
      </c>
      <c r="AD307" s="207" t="s">
        <v>117</v>
      </c>
      <c r="AE307" s="208">
        <f t="shared" si="193"/>
        <v>10</v>
      </c>
      <c r="AF307" s="270">
        <f t="shared" si="194"/>
        <v>100</v>
      </c>
      <c r="AG307" s="270" t="str">
        <f t="shared" si="195"/>
        <v>Fuerte</v>
      </c>
      <c r="AH307" s="209" t="s">
        <v>118</v>
      </c>
      <c r="AI307" s="210" t="str">
        <f t="shared" si="196"/>
        <v>Fuerte</v>
      </c>
      <c r="AJ307" s="211" t="str">
        <f>IFERROR(VLOOKUP((CONCATENATE(AG307,AI307)),Listados!$U$3:$V$11,2,FALSE),"")</f>
        <v>Fuerte</v>
      </c>
      <c r="AK307" s="270">
        <f t="shared" si="197"/>
        <v>100</v>
      </c>
      <c r="AL307" s="446">
        <f>AVERAGE(AK307:AK312)</f>
        <v>100</v>
      </c>
      <c r="AM307" s="448" t="str">
        <f>IF(AL307&lt;=50, "Débil", IF(AL307&lt;=99,"Moderado","Fuerte"))</f>
        <v>Fuerte</v>
      </c>
      <c r="AN307" s="269">
        <f>+IF(AND(Q307="Preventivo",AM307="Fuerte"),2,IF(AND(Q307="Preventivo",AM307="Moderado"),1,0))</f>
        <v>2</v>
      </c>
      <c r="AO307" s="269">
        <f t="shared" si="198"/>
        <v>0</v>
      </c>
      <c r="AP307" s="212">
        <f>+K307-AN307</f>
        <v>0</v>
      </c>
      <c r="AQ307" s="212">
        <f>+M307-AO307</f>
        <v>3</v>
      </c>
      <c r="AR307" s="435" t="str">
        <f>+VLOOKUP(MIN(AP307,AP308,AP309,AP310,AP311,AP312),Listados!$J$18:$K$24,2,TRUE)</f>
        <v>Rara Vez</v>
      </c>
      <c r="AS307" s="435" t="str">
        <f>+VLOOKUP(MIN(AQ307,AQ308,AQ309,AQ310,AQ311,AQ312),Listados!$J$27:$K$32,2,TRUE)</f>
        <v>Moderado</v>
      </c>
      <c r="AT307" s="435" t="str">
        <f>IF(AND(AR307&lt;&gt;"",AS307&lt;&gt;""),VLOOKUP(AR307&amp;AS307,Listados!$M$3:$N$27,2,FALSE),"")</f>
        <v>Moderado</v>
      </c>
      <c r="AU307" s="435" t="str">
        <f>+VLOOKUP(AT307,Listados!$P$3:$Q$6,2,FALSE)</f>
        <v xml:space="preserve"> Reducir el riesgo</v>
      </c>
      <c r="AV307" s="585" t="s">
        <v>1208</v>
      </c>
      <c r="AW307" s="585" t="s">
        <v>1209</v>
      </c>
      <c r="AX307" s="586">
        <v>44927</v>
      </c>
      <c r="AY307" s="586">
        <v>45291</v>
      </c>
      <c r="AZ307" s="585" t="s">
        <v>1194</v>
      </c>
      <c r="BA307" s="585" t="s">
        <v>1195</v>
      </c>
      <c r="BB307" s="589" t="s">
        <v>1427</v>
      </c>
      <c r="BC307" s="648" t="s">
        <v>1685</v>
      </c>
      <c r="BD307" s="648"/>
      <c r="BE307" s="592" t="s">
        <v>1547</v>
      </c>
      <c r="BF307" s="585" t="s">
        <v>1825</v>
      </c>
      <c r="BG307" s="585"/>
    </row>
    <row r="308" spans="1:59" ht="90" customHeight="1">
      <c r="A308" s="437"/>
      <c r="B308" s="483"/>
      <c r="C308" s="441"/>
      <c r="D308" s="444"/>
      <c r="E308" s="247"/>
      <c r="F308" s="247"/>
      <c r="G308" s="229"/>
      <c r="H308" s="230"/>
      <c r="I308" s="230"/>
      <c r="J308" s="472"/>
      <c r="K308" s="467"/>
      <c r="L308" s="478"/>
      <c r="M308" s="467"/>
      <c r="N308" s="470"/>
      <c r="O308" s="213"/>
      <c r="P308" s="231"/>
      <c r="Q308" s="231"/>
      <c r="R308" s="231"/>
      <c r="S308" s="208" t="str">
        <f t="shared" si="187"/>
        <v/>
      </c>
      <c r="T308" s="231"/>
      <c r="U308" s="208" t="str">
        <f t="shared" si="188"/>
        <v/>
      </c>
      <c r="V308" s="207"/>
      <c r="W308" s="208" t="str">
        <f t="shared" si="189"/>
        <v/>
      </c>
      <c r="X308" s="207"/>
      <c r="Y308" s="208" t="str">
        <f t="shared" si="190"/>
        <v/>
      </c>
      <c r="Z308" s="207"/>
      <c r="AA308" s="208" t="str">
        <f t="shared" si="191"/>
        <v/>
      </c>
      <c r="AB308" s="207"/>
      <c r="AC308" s="208" t="str">
        <f t="shared" si="192"/>
        <v/>
      </c>
      <c r="AD308" s="207"/>
      <c r="AE308" s="208" t="str">
        <f t="shared" si="193"/>
        <v/>
      </c>
      <c r="AF308" s="270" t="str">
        <f t="shared" si="194"/>
        <v/>
      </c>
      <c r="AG308" s="270" t="str">
        <f t="shared" si="195"/>
        <v/>
      </c>
      <c r="AH308" s="209"/>
      <c r="AI308" s="210" t="str">
        <f t="shared" si="196"/>
        <v>Débil</v>
      </c>
      <c r="AJ308" s="211" t="str">
        <f>IFERROR(VLOOKUP((CONCATENATE(AG308,AI308)),Listados!$U$3:$V$11,2,FALSE),"")</f>
        <v/>
      </c>
      <c r="AK308" s="270">
        <f t="shared" si="197"/>
        <v>100</v>
      </c>
      <c r="AL308" s="447"/>
      <c r="AM308" s="449"/>
      <c r="AN308" s="269">
        <f>+IF(AND(Q308="Preventivo",AM307="Fuerte"),2,IF(AND(Q308="Preventivo",AM307="Moderado"),1,0))</f>
        <v>0</v>
      </c>
      <c r="AO308" s="269">
        <f t="shared" si="198"/>
        <v>0</v>
      </c>
      <c r="AP308" s="212">
        <f>+K307-AN308</f>
        <v>2</v>
      </c>
      <c r="AQ308" s="212">
        <f>+M307-AO308</f>
        <v>3</v>
      </c>
      <c r="AR308" s="433"/>
      <c r="AS308" s="433"/>
      <c r="AT308" s="433"/>
      <c r="AU308" s="433"/>
      <c r="AV308" s="562"/>
      <c r="AW308" s="562"/>
      <c r="AX308" s="587"/>
      <c r="AY308" s="587"/>
      <c r="AZ308" s="562"/>
      <c r="BA308" s="562"/>
      <c r="BB308" s="590"/>
      <c r="BC308" s="562"/>
      <c r="BD308" s="562"/>
      <c r="BE308" s="562"/>
      <c r="BF308" s="562"/>
      <c r="BG308" s="562"/>
    </row>
    <row r="309" spans="1:59" ht="90" customHeight="1">
      <c r="A309" s="437"/>
      <c r="B309" s="483"/>
      <c r="C309" s="441"/>
      <c r="D309" s="444"/>
      <c r="E309" s="247"/>
      <c r="F309" s="247"/>
      <c r="G309" s="229"/>
      <c r="H309" s="230"/>
      <c r="I309" s="230"/>
      <c r="J309" s="472"/>
      <c r="K309" s="467"/>
      <c r="L309" s="478"/>
      <c r="M309" s="467"/>
      <c r="N309" s="470"/>
      <c r="O309" s="213"/>
      <c r="P309" s="231"/>
      <c r="Q309" s="231"/>
      <c r="R309" s="231"/>
      <c r="S309" s="208" t="str">
        <f t="shared" si="187"/>
        <v/>
      </c>
      <c r="T309" s="231"/>
      <c r="U309" s="208" t="str">
        <f t="shared" si="188"/>
        <v/>
      </c>
      <c r="V309" s="207"/>
      <c r="W309" s="208" t="str">
        <f t="shared" si="189"/>
        <v/>
      </c>
      <c r="X309" s="207"/>
      <c r="Y309" s="208" t="str">
        <f t="shared" si="190"/>
        <v/>
      </c>
      <c r="Z309" s="207"/>
      <c r="AA309" s="208" t="str">
        <f t="shared" si="191"/>
        <v/>
      </c>
      <c r="AB309" s="207"/>
      <c r="AC309" s="208" t="str">
        <f t="shared" si="192"/>
        <v/>
      </c>
      <c r="AD309" s="207"/>
      <c r="AE309" s="208" t="str">
        <f t="shared" si="193"/>
        <v/>
      </c>
      <c r="AF309" s="270" t="str">
        <f t="shared" si="194"/>
        <v/>
      </c>
      <c r="AG309" s="270" t="str">
        <f t="shared" si="195"/>
        <v/>
      </c>
      <c r="AH309" s="209"/>
      <c r="AI309" s="210" t="str">
        <f t="shared" si="196"/>
        <v>Débil</v>
      </c>
      <c r="AJ309" s="211" t="str">
        <f>IFERROR(VLOOKUP((CONCATENATE(AG309,AI309)),Listados!$U$3:$V$11,2,FALSE),"")</f>
        <v/>
      </c>
      <c r="AK309" s="270">
        <f t="shared" si="197"/>
        <v>100</v>
      </c>
      <c r="AL309" s="447"/>
      <c r="AM309" s="449"/>
      <c r="AN309" s="269">
        <f>+IF(AND(Q309="Preventivo",AM307="Fuerte"),2,IF(AND(Q309="Preventivo",AM307="Moderado"),1,0))</f>
        <v>0</v>
      </c>
      <c r="AO309" s="269">
        <f t="shared" si="198"/>
        <v>0</v>
      </c>
      <c r="AP309" s="212">
        <f>+K307-AN309</f>
        <v>2</v>
      </c>
      <c r="AQ309" s="212">
        <f>+M307-AO309</f>
        <v>3</v>
      </c>
      <c r="AR309" s="433"/>
      <c r="AS309" s="433"/>
      <c r="AT309" s="433"/>
      <c r="AU309" s="433"/>
      <c r="AV309" s="562"/>
      <c r="AW309" s="562"/>
      <c r="AX309" s="587"/>
      <c r="AY309" s="587"/>
      <c r="AZ309" s="562"/>
      <c r="BA309" s="562"/>
      <c r="BB309" s="590"/>
      <c r="BC309" s="562"/>
      <c r="BD309" s="562"/>
      <c r="BE309" s="562"/>
      <c r="BF309" s="562"/>
      <c r="BG309" s="562"/>
    </row>
    <row r="310" spans="1:59" ht="90" customHeight="1">
      <c r="A310" s="437"/>
      <c r="B310" s="483"/>
      <c r="C310" s="441"/>
      <c r="D310" s="444"/>
      <c r="E310" s="247"/>
      <c r="F310" s="247"/>
      <c r="G310" s="248"/>
      <c r="H310" s="230"/>
      <c r="I310" s="230"/>
      <c r="J310" s="472"/>
      <c r="K310" s="467"/>
      <c r="L310" s="478"/>
      <c r="M310" s="467"/>
      <c r="N310" s="470"/>
      <c r="O310" s="213"/>
      <c r="P310" s="231"/>
      <c r="Q310" s="231"/>
      <c r="R310" s="231"/>
      <c r="S310" s="208" t="str">
        <f t="shared" si="187"/>
        <v/>
      </c>
      <c r="T310" s="231"/>
      <c r="U310" s="208" t="str">
        <f t="shared" si="188"/>
        <v/>
      </c>
      <c r="V310" s="207"/>
      <c r="W310" s="208" t="str">
        <f t="shared" si="189"/>
        <v/>
      </c>
      <c r="X310" s="207"/>
      <c r="Y310" s="208" t="str">
        <f t="shared" si="190"/>
        <v/>
      </c>
      <c r="Z310" s="207"/>
      <c r="AA310" s="208" t="str">
        <f t="shared" si="191"/>
        <v/>
      </c>
      <c r="AB310" s="207"/>
      <c r="AC310" s="208" t="str">
        <f t="shared" si="192"/>
        <v/>
      </c>
      <c r="AD310" s="207"/>
      <c r="AE310" s="208" t="str">
        <f t="shared" si="193"/>
        <v/>
      </c>
      <c r="AF310" s="270" t="str">
        <f t="shared" si="194"/>
        <v/>
      </c>
      <c r="AG310" s="270" t="str">
        <f t="shared" si="195"/>
        <v/>
      </c>
      <c r="AH310" s="209"/>
      <c r="AI310" s="210" t="str">
        <f t="shared" si="196"/>
        <v>Débil</v>
      </c>
      <c r="AJ310" s="211" t="str">
        <f>IFERROR(VLOOKUP((CONCATENATE(AG310,AI310)),Listados!$U$3:$V$11,2,FALSE),"")</f>
        <v/>
      </c>
      <c r="AK310" s="270">
        <f t="shared" si="197"/>
        <v>100</v>
      </c>
      <c r="AL310" s="447"/>
      <c r="AM310" s="449"/>
      <c r="AN310" s="269">
        <f>+IF(AND(Q310="Preventivo",AM307="Fuerte"),2,IF(AND(Q310="Preventivo",AM307="Moderado"),1,0))</f>
        <v>0</v>
      </c>
      <c r="AO310" s="269">
        <f t="shared" si="198"/>
        <v>0</v>
      </c>
      <c r="AP310" s="212">
        <f>+K307-AN310</f>
        <v>2</v>
      </c>
      <c r="AQ310" s="212">
        <f>+M307-AO310</f>
        <v>3</v>
      </c>
      <c r="AR310" s="433"/>
      <c r="AS310" s="433"/>
      <c r="AT310" s="433"/>
      <c r="AU310" s="433"/>
      <c r="AV310" s="562"/>
      <c r="AW310" s="562"/>
      <c r="AX310" s="587"/>
      <c r="AY310" s="587"/>
      <c r="AZ310" s="562"/>
      <c r="BA310" s="562"/>
      <c r="BB310" s="590"/>
      <c r="BC310" s="562"/>
      <c r="BD310" s="562"/>
      <c r="BE310" s="562"/>
      <c r="BF310" s="562"/>
      <c r="BG310" s="562"/>
    </row>
    <row r="311" spans="1:59" ht="90" customHeight="1">
      <c r="A311" s="437"/>
      <c r="B311" s="483"/>
      <c r="C311" s="441"/>
      <c r="D311" s="444"/>
      <c r="E311" s="220"/>
      <c r="F311" s="220"/>
      <c r="G311" s="221"/>
      <c r="H311" s="222"/>
      <c r="I311" s="230"/>
      <c r="J311" s="472"/>
      <c r="K311" s="467"/>
      <c r="L311" s="478"/>
      <c r="M311" s="467"/>
      <c r="N311" s="470"/>
      <c r="O311" s="213"/>
      <c r="P311" s="231"/>
      <c r="Q311" s="231"/>
      <c r="R311" s="231"/>
      <c r="S311" s="208" t="str">
        <f t="shared" si="187"/>
        <v/>
      </c>
      <c r="T311" s="231"/>
      <c r="U311" s="208" t="str">
        <f t="shared" si="188"/>
        <v/>
      </c>
      <c r="V311" s="207"/>
      <c r="W311" s="208" t="str">
        <f t="shared" si="189"/>
        <v/>
      </c>
      <c r="X311" s="207"/>
      <c r="Y311" s="208" t="str">
        <f t="shared" si="190"/>
        <v/>
      </c>
      <c r="Z311" s="207"/>
      <c r="AA311" s="208" t="str">
        <f t="shared" si="191"/>
        <v/>
      </c>
      <c r="AB311" s="207"/>
      <c r="AC311" s="208" t="str">
        <f t="shared" si="192"/>
        <v/>
      </c>
      <c r="AD311" s="207"/>
      <c r="AE311" s="208" t="str">
        <f t="shared" si="193"/>
        <v/>
      </c>
      <c r="AF311" s="270" t="str">
        <f t="shared" si="194"/>
        <v/>
      </c>
      <c r="AG311" s="270" t="str">
        <f t="shared" si="195"/>
        <v/>
      </c>
      <c r="AH311" s="209"/>
      <c r="AI311" s="210" t="str">
        <f t="shared" si="196"/>
        <v>Débil</v>
      </c>
      <c r="AJ311" s="211" t="str">
        <f>IFERROR(VLOOKUP((CONCATENATE(AG311,AI311)),Listados!$U$3:$V$11,2,FALSE),"")</f>
        <v/>
      </c>
      <c r="AK311" s="270">
        <f t="shared" si="197"/>
        <v>100</v>
      </c>
      <c r="AL311" s="447"/>
      <c r="AM311" s="449"/>
      <c r="AN311" s="269">
        <f>+IF(AND(Q311="Preventivo",AM307="Fuerte"),2,IF(AND(Q311="Preventivo",AM307="Moderado"),1,0))</f>
        <v>0</v>
      </c>
      <c r="AO311" s="269">
        <f t="shared" si="198"/>
        <v>0</v>
      </c>
      <c r="AP311" s="212">
        <f>+K307-AN311</f>
        <v>2</v>
      </c>
      <c r="AQ311" s="212">
        <f>+M307-AO311</f>
        <v>3</v>
      </c>
      <c r="AR311" s="433"/>
      <c r="AS311" s="433"/>
      <c r="AT311" s="433"/>
      <c r="AU311" s="433"/>
      <c r="AV311" s="562"/>
      <c r="AW311" s="562"/>
      <c r="AX311" s="587"/>
      <c r="AY311" s="587"/>
      <c r="AZ311" s="562"/>
      <c r="BA311" s="562"/>
      <c r="BB311" s="590"/>
      <c r="BC311" s="562"/>
      <c r="BD311" s="562"/>
      <c r="BE311" s="562"/>
      <c r="BF311" s="562"/>
      <c r="BG311" s="562"/>
    </row>
    <row r="312" spans="1:59" ht="14.5" customHeight="1" thickBot="1">
      <c r="A312" s="438"/>
      <c r="B312" s="483"/>
      <c r="C312" s="442"/>
      <c r="D312" s="445"/>
      <c r="E312" s="223"/>
      <c r="F312" s="223"/>
      <c r="G312" s="224"/>
      <c r="H312" s="225"/>
      <c r="I312" s="230"/>
      <c r="J312" s="472"/>
      <c r="K312" s="468"/>
      <c r="L312" s="478"/>
      <c r="M312" s="468"/>
      <c r="N312" s="470"/>
      <c r="O312" s="213"/>
      <c r="P312" s="231"/>
      <c r="Q312" s="231"/>
      <c r="R312" s="231"/>
      <c r="S312" s="208" t="str">
        <f t="shared" si="187"/>
        <v/>
      </c>
      <c r="T312" s="231"/>
      <c r="U312" s="208" t="str">
        <f t="shared" si="188"/>
        <v/>
      </c>
      <c r="V312" s="207"/>
      <c r="W312" s="208" t="str">
        <f t="shared" si="189"/>
        <v/>
      </c>
      <c r="X312" s="207"/>
      <c r="Y312" s="208" t="str">
        <f t="shared" si="190"/>
        <v/>
      </c>
      <c r="Z312" s="207"/>
      <c r="AA312" s="208" t="str">
        <f t="shared" si="191"/>
        <v/>
      </c>
      <c r="AB312" s="207"/>
      <c r="AC312" s="208" t="str">
        <f t="shared" si="192"/>
        <v/>
      </c>
      <c r="AD312" s="207"/>
      <c r="AE312" s="208" t="str">
        <f t="shared" si="193"/>
        <v/>
      </c>
      <c r="AF312" s="270" t="str">
        <f t="shared" si="194"/>
        <v/>
      </c>
      <c r="AG312" s="270" t="str">
        <f t="shared" si="195"/>
        <v/>
      </c>
      <c r="AH312" s="209"/>
      <c r="AI312" s="210" t="str">
        <f t="shared" si="196"/>
        <v>Débil</v>
      </c>
      <c r="AJ312" s="211" t="str">
        <f>IFERROR(VLOOKUP((CONCATENATE(AG312,AI312)),Listados!$U$3:$V$11,2,FALSE),"")</f>
        <v/>
      </c>
      <c r="AK312" s="270">
        <f t="shared" si="197"/>
        <v>100</v>
      </c>
      <c r="AL312" s="448"/>
      <c r="AM312" s="449"/>
      <c r="AN312" s="269">
        <f>+IF(AND(Q312="Preventivo",AM307="Fuerte"),2,IF(AND(Q312="Preventivo",AM307="Moderado"),1,0))</f>
        <v>0</v>
      </c>
      <c r="AO312" s="269">
        <f t="shared" si="198"/>
        <v>0</v>
      </c>
      <c r="AP312" s="212">
        <f>+K307-AN312</f>
        <v>2</v>
      </c>
      <c r="AQ312" s="212">
        <f>+M307-AO312</f>
        <v>3</v>
      </c>
      <c r="AR312" s="434"/>
      <c r="AS312" s="434"/>
      <c r="AT312" s="434"/>
      <c r="AU312" s="434"/>
      <c r="AV312" s="563"/>
      <c r="AW312" s="563"/>
      <c r="AX312" s="588"/>
      <c r="AY312" s="588"/>
      <c r="AZ312" s="563"/>
      <c r="BA312" s="563"/>
      <c r="BB312" s="591"/>
      <c r="BC312" s="563"/>
      <c r="BD312" s="563"/>
      <c r="BE312" s="563"/>
      <c r="BF312" s="563"/>
      <c r="BG312" s="563"/>
    </row>
    <row r="313" spans="1:59" ht="199.5" customHeight="1">
      <c r="A313" s="436">
        <v>53</v>
      </c>
      <c r="B313" s="439" t="s">
        <v>68</v>
      </c>
      <c r="C313" s="440" t="str">
        <f>IFERROR(VLOOKUP(B313,Listados!B$3:C$20,2,FALSE),"")</f>
        <v>Gestión contra la Criminalidad y la Reincidencia</v>
      </c>
      <c r="D313" s="443" t="s">
        <v>1322</v>
      </c>
      <c r="E313" s="226" t="s">
        <v>41</v>
      </c>
      <c r="F313" s="226" t="s">
        <v>278</v>
      </c>
      <c r="G313" s="228" t="s">
        <v>1184</v>
      </c>
      <c r="H313" s="227" t="s">
        <v>16</v>
      </c>
      <c r="I313" s="227" t="s">
        <v>1186</v>
      </c>
      <c r="J313" s="471" t="s">
        <v>44</v>
      </c>
      <c r="K313" s="466">
        <f>+VLOOKUP(J313,Listados!$K$8:$L$12,2,0)</f>
        <v>3</v>
      </c>
      <c r="L313" s="477" t="s">
        <v>54</v>
      </c>
      <c r="M313" s="466">
        <f>+VLOOKUP(L313,Listados!$K$13:$L$17,2,0)</f>
        <v>4</v>
      </c>
      <c r="N313" s="434" t="str">
        <f>IF(AND(J313&lt;&gt;"",L313&lt;&gt;""),VLOOKUP(J313&amp;L313,Listados!$M$3:$N$27,2,FALSE),"")</f>
        <v>Extremo</v>
      </c>
      <c r="O313" s="251" t="s">
        <v>1714</v>
      </c>
      <c r="P313" s="251" t="s">
        <v>1184</v>
      </c>
      <c r="Q313" s="231" t="s">
        <v>123</v>
      </c>
      <c r="R313" s="231" t="s">
        <v>116</v>
      </c>
      <c r="S313" s="208">
        <f t="shared" si="187"/>
        <v>15</v>
      </c>
      <c r="T313" s="231" t="s">
        <v>116</v>
      </c>
      <c r="U313" s="208">
        <f t="shared" si="188"/>
        <v>15</v>
      </c>
      <c r="V313" s="207" t="s">
        <v>257</v>
      </c>
      <c r="W313" s="208">
        <f t="shared" si="189"/>
        <v>15</v>
      </c>
      <c r="X313" s="207" t="s">
        <v>20</v>
      </c>
      <c r="Y313" s="208">
        <f t="shared" si="190"/>
        <v>15</v>
      </c>
      <c r="Z313" s="207" t="s">
        <v>257</v>
      </c>
      <c r="AA313" s="208">
        <f t="shared" si="191"/>
        <v>15</v>
      </c>
      <c r="AB313" s="207" t="s">
        <v>257</v>
      </c>
      <c r="AC313" s="208">
        <f t="shared" si="192"/>
        <v>15</v>
      </c>
      <c r="AD313" s="207" t="s">
        <v>117</v>
      </c>
      <c r="AE313" s="208">
        <f t="shared" si="193"/>
        <v>10</v>
      </c>
      <c r="AF313" s="270">
        <f t="shared" si="194"/>
        <v>100</v>
      </c>
      <c r="AG313" s="270" t="str">
        <f t="shared" si="195"/>
        <v>Fuerte</v>
      </c>
      <c r="AH313" s="209" t="s">
        <v>118</v>
      </c>
      <c r="AI313" s="210" t="str">
        <f t="shared" si="196"/>
        <v>Fuerte</v>
      </c>
      <c r="AJ313" s="211" t="str">
        <f>IFERROR(VLOOKUP((CONCATENATE(AG313,AI313)),Listados!$U$3:$V$11,2,FALSE),"")</f>
        <v>Fuerte</v>
      </c>
      <c r="AK313" s="270">
        <f t="shared" si="197"/>
        <v>100</v>
      </c>
      <c r="AL313" s="446">
        <f>AVERAGE(AK313:AK318)</f>
        <v>100</v>
      </c>
      <c r="AM313" s="448" t="str">
        <f>IF(AL313&lt;=50, "Débil", IF(AL313&lt;=99,"Moderado","Fuerte"))</f>
        <v>Fuerte</v>
      </c>
      <c r="AN313" s="269">
        <f>+IF(AND(Q313="Preventivo",AM313="Fuerte"),2,IF(AND(Q313="Preventivo",AM313="Moderado"),1,0))</f>
        <v>0</v>
      </c>
      <c r="AO313" s="269">
        <f t="shared" si="198"/>
        <v>0</v>
      </c>
      <c r="AP313" s="212">
        <f>+K313-AN313</f>
        <v>3</v>
      </c>
      <c r="AQ313" s="212">
        <f>+M313-AO313</f>
        <v>4</v>
      </c>
      <c r="AR313" s="469" t="str">
        <f>+VLOOKUP(MIN(AP313,AP314,AP315,AP316,AP317,AP318),Listados!$J$18:$K$24,2,TRUE)</f>
        <v>Rara Vez</v>
      </c>
      <c r="AS313" s="469" t="str">
        <f>+VLOOKUP(MIN(AQ313,AQ314,AQ315,AQ316,AQ317,AQ318),Listados!$J$27:$K$32,2,TRUE)</f>
        <v>Mayor</v>
      </c>
      <c r="AT313" s="469" t="str">
        <f>IF(AND(AR313&lt;&gt;"",AS313&lt;&gt;""),VLOOKUP(AR313&amp;AS313,Listados!$M$3:$N$27,2,FALSE),"")</f>
        <v>Alto</v>
      </c>
      <c r="AU313" s="469" t="str">
        <f>+VLOOKUP(AT313,Listados!$P$3:$Q$6,2,FALSE)</f>
        <v>Reducir el riesgo</v>
      </c>
      <c r="AV313" s="234" t="s">
        <v>1715</v>
      </c>
      <c r="AW313" s="235" t="s">
        <v>1080</v>
      </c>
      <c r="AX313" s="241">
        <v>44927</v>
      </c>
      <c r="AY313" s="241">
        <v>45291</v>
      </c>
      <c r="AZ313" s="234" t="s">
        <v>1081</v>
      </c>
      <c r="BA313" s="235" t="s">
        <v>1716</v>
      </c>
      <c r="BB313" s="344" t="s">
        <v>1446</v>
      </c>
      <c r="BC313" s="411" t="s">
        <v>1721</v>
      </c>
      <c r="BD313" s="295"/>
      <c r="BE313" s="592" t="s">
        <v>1541</v>
      </c>
      <c r="BF313" s="585" t="s">
        <v>1783</v>
      </c>
      <c r="BG313" s="585"/>
    </row>
    <row r="314" spans="1:59" ht="112">
      <c r="A314" s="437"/>
      <c r="B314" s="439"/>
      <c r="C314" s="441"/>
      <c r="D314" s="444"/>
      <c r="E314" s="218"/>
      <c r="F314" s="218"/>
      <c r="G314" s="251" t="s">
        <v>1189</v>
      </c>
      <c r="H314" s="216" t="s">
        <v>16</v>
      </c>
      <c r="I314" s="216" t="s">
        <v>1187</v>
      </c>
      <c r="J314" s="472"/>
      <c r="K314" s="467"/>
      <c r="L314" s="478"/>
      <c r="M314" s="467"/>
      <c r="N314" s="470"/>
      <c r="O314" s="229" t="s">
        <v>1712</v>
      </c>
      <c r="P314" s="259" t="s">
        <v>1189</v>
      </c>
      <c r="Q314" s="231" t="s">
        <v>20</v>
      </c>
      <c r="R314" s="231" t="s">
        <v>116</v>
      </c>
      <c r="S314" s="208">
        <f t="shared" si="187"/>
        <v>15</v>
      </c>
      <c r="T314" s="231" t="s">
        <v>257</v>
      </c>
      <c r="U314" s="208">
        <f t="shared" si="188"/>
        <v>15</v>
      </c>
      <c r="V314" s="207" t="s">
        <v>257</v>
      </c>
      <c r="W314" s="208">
        <f t="shared" si="189"/>
        <v>15</v>
      </c>
      <c r="X314" s="207" t="s">
        <v>20</v>
      </c>
      <c r="Y314" s="208">
        <f t="shared" si="190"/>
        <v>15</v>
      </c>
      <c r="Z314" s="207" t="s">
        <v>257</v>
      </c>
      <c r="AA314" s="208">
        <f t="shared" si="191"/>
        <v>15</v>
      </c>
      <c r="AB314" s="207" t="s">
        <v>257</v>
      </c>
      <c r="AC314" s="208">
        <f t="shared" si="192"/>
        <v>15</v>
      </c>
      <c r="AD314" s="207" t="s">
        <v>117</v>
      </c>
      <c r="AE314" s="208">
        <f t="shared" si="193"/>
        <v>10</v>
      </c>
      <c r="AF314" s="270">
        <f t="shared" si="194"/>
        <v>100</v>
      </c>
      <c r="AG314" s="270" t="str">
        <f t="shared" si="195"/>
        <v>Fuerte</v>
      </c>
      <c r="AH314" s="209" t="s">
        <v>118</v>
      </c>
      <c r="AI314" s="210" t="str">
        <f t="shared" si="196"/>
        <v>Fuerte</v>
      </c>
      <c r="AJ314" s="211" t="str">
        <f>IFERROR(VLOOKUP((CONCATENATE(AG314,AI314)),Listados!$U$3:$V$11,2,FALSE),"")</f>
        <v>Fuerte</v>
      </c>
      <c r="AK314" s="270">
        <f t="shared" si="197"/>
        <v>100</v>
      </c>
      <c r="AL314" s="447"/>
      <c r="AM314" s="449"/>
      <c r="AN314" s="269">
        <f>+IF(AND(Q314="Preventivo",AM313="Fuerte"),2,IF(AND(Q314="Preventivo",AM313="Moderado"),1,0))</f>
        <v>2</v>
      </c>
      <c r="AO314" s="269">
        <f t="shared" si="198"/>
        <v>0</v>
      </c>
      <c r="AP314" s="212">
        <f>+K313-AN314</f>
        <v>1</v>
      </c>
      <c r="AQ314" s="212">
        <f>+M313-AO314</f>
        <v>4</v>
      </c>
      <c r="AR314" s="433"/>
      <c r="AS314" s="433"/>
      <c r="AT314" s="433"/>
      <c r="AU314" s="433"/>
      <c r="AV314" s="234" t="s">
        <v>1717</v>
      </c>
      <c r="AW314" s="235" t="s">
        <v>1080</v>
      </c>
      <c r="AX314" s="241" t="s">
        <v>1718</v>
      </c>
      <c r="AY314" s="241">
        <v>45291</v>
      </c>
      <c r="AZ314" s="234" t="s">
        <v>1081</v>
      </c>
      <c r="BA314" s="235" t="s">
        <v>1719</v>
      </c>
      <c r="BB314" s="367" t="s">
        <v>1448</v>
      </c>
      <c r="BC314" s="412" t="s">
        <v>1722</v>
      </c>
      <c r="BD314" s="645"/>
      <c r="BE314" s="562"/>
      <c r="BF314" s="562"/>
      <c r="BG314" s="562"/>
    </row>
    <row r="315" spans="1:59" ht="125.25" customHeight="1">
      <c r="A315" s="437"/>
      <c r="B315" s="439"/>
      <c r="C315" s="441"/>
      <c r="D315" s="444"/>
      <c r="E315" s="218"/>
      <c r="F315" s="218"/>
      <c r="G315" s="137" t="s">
        <v>1185</v>
      </c>
      <c r="H315" s="216" t="s">
        <v>16</v>
      </c>
      <c r="I315" s="216" t="s">
        <v>1188</v>
      </c>
      <c r="J315" s="472"/>
      <c r="K315" s="467"/>
      <c r="L315" s="478"/>
      <c r="M315" s="467"/>
      <c r="N315" s="470"/>
      <c r="O315" s="229" t="s">
        <v>1713</v>
      </c>
      <c r="P315" s="139" t="s">
        <v>1185</v>
      </c>
      <c r="Q315" s="231" t="s">
        <v>20</v>
      </c>
      <c r="R315" s="231" t="s">
        <v>116</v>
      </c>
      <c r="S315" s="208">
        <f t="shared" si="187"/>
        <v>15</v>
      </c>
      <c r="T315" s="231" t="s">
        <v>257</v>
      </c>
      <c r="U315" s="208">
        <f t="shared" si="188"/>
        <v>15</v>
      </c>
      <c r="V315" s="207" t="s">
        <v>257</v>
      </c>
      <c r="W315" s="208">
        <f t="shared" si="189"/>
        <v>15</v>
      </c>
      <c r="X315" s="207" t="s">
        <v>20</v>
      </c>
      <c r="Y315" s="208">
        <f t="shared" si="190"/>
        <v>15</v>
      </c>
      <c r="Z315" s="207" t="s">
        <v>257</v>
      </c>
      <c r="AA315" s="208">
        <f t="shared" si="191"/>
        <v>15</v>
      </c>
      <c r="AB315" s="207" t="s">
        <v>257</v>
      </c>
      <c r="AC315" s="208">
        <f t="shared" si="192"/>
        <v>15</v>
      </c>
      <c r="AD315" s="207" t="s">
        <v>117</v>
      </c>
      <c r="AE315" s="208">
        <f t="shared" si="193"/>
        <v>10</v>
      </c>
      <c r="AF315" s="270">
        <f t="shared" si="194"/>
        <v>100</v>
      </c>
      <c r="AG315" s="270" t="str">
        <f t="shared" si="195"/>
        <v>Fuerte</v>
      </c>
      <c r="AH315" s="209" t="s">
        <v>118</v>
      </c>
      <c r="AI315" s="210" t="str">
        <f t="shared" si="196"/>
        <v>Fuerte</v>
      </c>
      <c r="AJ315" s="211" t="str">
        <f>IFERROR(VLOOKUP((CONCATENATE(AG315,AI315)),Listados!$U$3:$V$11,2,FALSE),"")</f>
        <v>Fuerte</v>
      </c>
      <c r="AK315" s="270">
        <f t="shared" si="197"/>
        <v>100</v>
      </c>
      <c r="AL315" s="447"/>
      <c r="AM315" s="449"/>
      <c r="AN315" s="269">
        <f>+IF(AND(Q315="Preventivo",AM313="Fuerte"),2,IF(AND(Q315="Preventivo",AM313="Moderado"),1,0))</f>
        <v>2</v>
      </c>
      <c r="AO315" s="269">
        <f t="shared" si="198"/>
        <v>0</v>
      </c>
      <c r="AP315" s="212">
        <f>+K313-AN315</f>
        <v>1</v>
      </c>
      <c r="AQ315" s="212">
        <f>+M313-AO315</f>
        <v>4</v>
      </c>
      <c r="AR315" s="433"/>
      <c r="AS315" s="433"/>
      <c r="AT315" s="433"/>
      <c r="AU315" s="433"/>
      <c r="AV315" s="234" t="s">
        <v>1720</v>
      </c>
      <c r="AW315" s="235"/>
      <c r="AX315" s="241">
        <v>44927</v>
      </c>
      <c r="AY315" s="241">
        <v>45291</v>
      </c>
      <c r="AZ315" s="234" t="s">
        <v>1081</v>
      </c>
      <c r="BA315" s="235" t="s">
        <v>1447</v>
      </c>
      <c r="BB315" s="370" t="s">
        <v>1449</v>
      </c>
      <c r="BC315" s="706" t="s">
        <v>1723</v>
      </c>
      <c r="BD315" s="646"/>
      <c r="BE315" s="562"/>
      <c r="BF315" s="562"/>
      <c r="BG315" s="562"/>
    </row>
    <row r="316" spans="1:59" ht="14.15" customHeight="1">
      <c r="A316" s="437"/>
      <c r="B316" s="439"/>
      <c r="C316" s="441"/>
      <c r="D316" s="444"/>
      <c r="E316" s="218"/>
      <c r="F316" s="218"/>
      <c r="G316" s="219"/>
      <c r="H316" s="216"/>
      <c r="I316" s="216"/>
      <c r="J316" s="472"/>
      <c r="K316" s="467"/>
      <c r="L316" s="478"/>
      <c r="M316" s="467"/>
      <c r="N316" s="470"/>
      <c r="O316" s="213"/>
      <c r="P316" s="231"/>
      <c r="Q316" s="231"/>
      <c r="R316" s="231"/>
      <c r="S316" s="208" t="str">
        <f t="shared" si="187"/>
        <v/>
      </c>
      <c r="T316" s="231"/>
      <c r="U316" s="208" t="str">
        <f t="shared" si="188"/>
        <v/>
      </c>
      <c r="V316" s="207"/>
      <c r="W316" s="208" t="str">
        <f t="shared" si="189"/>
        <v/>
      </c>
      <c r="X316" s="207"/>
      <c r="Y316" s="208" t="str">
        <f t="shared" si="190"/>
        <v/>
      </c>
      <c r="Z316" s="207"/>
      <c r="AA316" s="208" t="str">
        <f t="shared" si="191"/>
        <v/>
      </c>
      <c r="AB316" s="207"/>
      <c r="AC316" s="208" t="str">
        <f t="shared" si="192"/>
        <v/>
      </c>
      <c r="AD316" s="207"/>
      <c r="AE316" s="208" t="str">
        <f t="shared" si="193"/>
        <v/>
      </c>
      <c r="AF316" s="270" t="str">
        <f t="shared" si="194"/>
        <v/>
      </c>
      <c r="AG316" s="270" t="str">
        <f t="shared" si="195"/>
        <v/>
      </c>
      <c r="AH316" s="209"/>
      <c r="AI316" s="210" t="str">
        <f t="shared" si="196"/>
        <v>Débil</v>
      </c>
      <c r="AJ316" s="211" t="str">
        <f>IFERROR(VLOOKUP((CONCATENATE(AG316,AI316)),Listados!$U$3:$V$11,2,FALSE),"")</f>
        <v/>
      </c>
      <c r="AK316" s="270">
        <f t="shared" si="197"/>
        <v>100</v>
      </c>
      <c r="AL316" s="447"/>
      <c r="AM316" s="449"/>
      <c r="AN316" s="269">
        <f>+IF(AND(Q316="Preventivo",AM313="Fuerte"),2,IF(AND(Q316="Preventivo",AM313="Moderado"),1,0))</f>
        <v>0</v>
      </c>
      <c r="AO316" s="269">
        <f t="shared" si="198"/>
        <v>0</v>
      </c>
      <c r="AP316" s="212">
        <f>+K313-AN316</f>
        <v>3</v>
      </c>
      <c r="AQ316" s="212">
        <f>+M313-AO316</f>
        <v>4</v>
      </c>
      <c r="AR316" s="433"/>
      <c r="AS316" s="433"/>
      <c r="AT316" s="433"/>
      <c r="AU316" s="433"/>
      <c r="AV316" s="200"/>
      <c r="AW316" s="200"/>
      <c r="AX316" s="249"/>
      <c r="AY316" s="249"/>
      <c r="AZ316" s="199"/>
      <c r="BA316" s="200"/>
      <c r="BB316" s="371"/>
      <c r="BC316" s="708"/>
      <c r="BD316" s="646"/>
      <c r="BE316" s="562"/>
      <c r="BF316" s="562"/>
      <c r="BG316" s="562"/>
    </row>
    <row r="317" spans="1:59" ht="14.15" customHeight="1">
      <c r="A317" s="437"/>
      <c r="B317" s="439"/>
      <c r="C317" s="441"/>
      <c r="D317" s="444"/>
      <c r="E317" s="220"/>
      <c r="F317" s="220"/>
      <c r="G317" s="221"/>
      <c r="H317" s="222"/>
      <c r="I317" s="216"/>
      <c r="J317" s="472"/>
      <c r="K317" s="467"/>
      <c r="L317" s="478"/>
      <c r="M317" s="467"/>
      <c r="N317" s="470"/>
      <c r="O317" s="213"/>
      <c r="P317" s="231"/>
      <c r="Q317" s="231"/>
      <c r="R317" s="231"/>
      <c r="S317" s="208" t="str">
        <f t="shared" si="187"/>
        <v/>
      </c>
      <c r="T317" s="231"/>
      <c r="U317" s="208" t="str">
        <f t="shared" si="188"/>
        <v/>
      </c>
      <c r="V317" s="207"/>
      <c r="W317" s="208" t="str">
        <f t="shared" si="189"/>
        <v/>
      </c>
      <c r="X317" s="207"/>
      <c r="Y317" s="208" t="str">
        <f t="shared" si="190"/>
        <v/>
      </c>
      <c r="Z317" s="207"/>
      <c r="AA317" s="208" t="str">
        <f t="shared" si="191"/>
        <v/>
      </c>
      <c r="AB317" s="207"/>
      <c r="AC317" s="208" t="str">
        <f t="shared" si="192"/>
        <v/>
      </c>
      <c r="AD317" s="207"/>
      <c r="AE317" s="208" t="str">
        <f t="shared" si="193"/>
        <v/>
      </c>
      <c r="AF317" s="270" t="str">
        <f t="shared" si="194"/>
        <v/>
      </c>
      <c r="AG317" s="270" t="str">
        <f t="shared" si="195"/>
        <v/>
      </c>
      <c r="AH317" s="209"/>
      <c r="AI317" s="210" t="str">
        <f t="shared" si="196"/>
        <v>Débil</v>
      </c>
      <c r="AJ317" s="211" t="str">
        <f>IFERROR(VLOOKUP((CONCATENATE(AG317,AI317)),Listados!$U$3:$V$11,2,FALSE),"")</f>
        <v/>
      </c>
      <c r="AK317" s="270">
        <f t="shared" si="197"/>
        <v>100</v>
      </c>
      <c r="AL317" s="447"/>
      <c r="AM317" s="449"/>
      <c r="AN317" s="269">
        <f>+IF(AND(Q317="Preventivo",AM313="Fuerte"),2,IF(AND(Q317="Preventivo",AM313="Moderado"),1,0))</f>
        <v>0</v>
      </c>
      <c r="AO317" s="269">
        <f t="shared" si="198"/>
        <v>0</v>
      </c>
      <c r="AP317" s="212">
        <f>+K313-AN317</f>
        <v>3</v>
      </c>
      <c r="AQ317" s="212">
        <f>+M313-AO317</f>
        <v>4</v>
      </c>
      <c r="AR317" s="433"/>
      <c r="AS317" s="433"/>
      <c r="AT317" s="433"/>
      <c r="AU317" s="433"/>
      <c r="AV317" s="200"/>
      <c r="AW317" s="200"/>
      <c r="AX317" s="249"/>
      <c r="AY317" s="249"/>
      <c r="AZ317" s="199"/>
      <c r="BA317" s="200"/>
      <c r="BB317" s="371"/>
      <c r="BC317" s="708"/>
      <c r="BD317" s="646"/>
      <c r="BE317" s="562"/>
      <c r="BF317" s="562"/>
      <c r="BG317" s="562"/>
    </row>
    <row r="318" spans="1:59" ht="14.5" customHeight="1" thickBot="1">
      <c r="A318" s="438"/>
      <c r="B318" s="439"/>
      <c r="C318" s="442"/>
      <c r="D318" s="445"/>
      <c r="E318" s="223"/>
      <c r="F318" s="223"/>
      <c r="G318" s="224"/>
      <c r="H318" s="261"/>
      <c r="I318" s="261"/>
      <c r="J318" s="473"/>
      <c r="K318" s="468"/>
      <c r="L318" s="479"/>
      <c r="M318" s="468"/>
      <c r="N318" s="470"/>
      <c r="O318" s="213"/>
      <c r="P318" s="231"/>
      <c r="Q318" s="231"/>
      <c r="R318" s="231"/>
      <c r="S318" s="208" t="str">
        <f t="shared" si="187"/>
        <v/>
      </c>
      <c r="T318" s="231"/>
      <c r="U318" s="208" t="str">
        <f t="shared" si="188"/>
        <v/>
      </c>
      <c r="V318" s="207"/>
      <c r="W318" s="208" t="str">
        <f t="shared" si="189"/>
        <v/>
      </c>
      <c r="X318" s="207"/>
      <c r="Y318" s="208" t="str">
        <f t="shared" si="190"/>
        <v/>
      </c>
      <c r="Z318" s="207"/>
      <c r="AA318" s="208" t="str">
        <f t="shared" si="191"/>
        <v/>
      </c>
      <c r="AB318" s="207"/>
      <c r="AC318" s="208" t="str">
        <f t="shared" si="192"/>
        <v/>
      </c>
      <c r="AD318" s="207"/>
      <c r="AE318" s="208" t="str">
        <f t="shared" si="193"/>
        <v/>
      </c>
      <c r="AF318" s="270" t="str">
        <f t="shared" si="194"/>
        <v/>
      </c>
      <c r="AG318" s="270" t="str">
        <f t="shared" si="195"/>
        <v/>
      </c>
      <c r="AH318" s="209"/>
      <c r="AI318" s="210" t="str">
        <f t="shared" si="196"/>
        <v>Débil</v>
      </c>
      <c r="AJ318" s="211" t="str">
        <f>IFERROR(VLOOKUP((CONCATENATE(AG318,AI318)),Listados!$U$3:$V$11,2,FALSE),"")</f>
        <v/>
      </c>
      <c r="AK318" s="270">
        <f t="shared" si="197"/>
        <v>100</v>
      </c>
      <c r="AL318" s="448"/>
      <c r="AM318" s="449"/>
      <c r="AN318" s="269">
        <f>+IF(AND(Q318="Preventivo",AM313="Fuerte"),2,IF(AND(Q318="Preventivo",AM313="Moderado"),1,0))</f>
        <v>0</v>
      </c>
      <c r="AO318" s="269">
        <f t="shared" si="198"/>
        <v>0</v>
      </c>
      <c r="AP318" s="212">
        <f>+K313-AN318</f>
        <v>3</v>
      </c>
      <c r="AQ318" s="212">
        <f>+M313-AO318</f>
        <v>4</v>
      </c>
      <c r="AR318" s="434"/>
      <c r="AS318" s="434"/>
      <c r="AT318" s="434"/>
      <c r="AU318" s="434"/>
      <c r="AV318" s="200"/>
      <c r="AW318" s="200"/>
      <c r="AX318" s="249"/>
      <c r="AY318" s="249"/>
      <c r="AZ318" s="199"/>
      <c r="BA318" s="200"/>
      <c r="BB318" s="372"/>
      <c r="BC318" s="707"/>
      <c r="BD318" s="647"/>
      <c r="BE318" s="563"/>
      <c r="BF318" s="563"/>
      <c r="BG318" s="563"/>
    </row>
    <row r="319" spans="1:59" ht="103.5" customHeight="1">
      <c r="A319" s="436">
        <v>54</v>
      </c>
      <c r="B319" s="440" t="s">
        <v>14</v>
      </c>
      <c r="C319" s="440" t="str">
        <f>IFERROR(VLOOKUP(B319,Listados!B$3:C$20,2,FALSE),"")</f>
        <v xml:space="preserve">Gestión del Conocimiento </v>
      </c>
      <c r="D319" s="443" t="s">
        <v>1323</v>
      </c>
      <c r="E319" s="226" t="s">
        <v>15</v>
      </c>
      <c r="F319" s="226" t="s">
        <v>189</v>
      </c>
      <c r="G319" s="229" t="s">
        <v>1261</v>
      </c>
      <c r="H319" s="229" t="s">
        <v>16</v>
      </c>
      <c r="I319" s="229" t="s">
        <v>1262</v>
      </c>
      <c r="J319" s="480" t="s">
        <v>44</v>
      </c>
      <c r="K319" s="466">
        <f>+VLOOKUP(J319,Listados!$K$8:$L$12,2,0)</f>
        <v>3</v>
      </c>
      <c r="L319" s="481" t="s">
        <v>36</v>
      </c>
      <c r="M319" s="466">
        <f>+VLOOKUP(L319,Listados!$K$13:$L$17,2,0)</f>
        <v>3</v>
      </c>
      <c r="N319" s="434" t="str">
        <f>IF(AND(J319&lt;&gt;"",L319&lt;&gt;""),VLOOKUP(J319&amp;L319,Listados!$M$3:$N$27,2,FALSE),"")</f>
        <v>Alto</v>
      </c>
      <c r="O319" s="229" t="s">
        <v>1265</v>
      </c>
      <c r="P319" s="139" t="s">
        <v>1261</v>
      </c>
      <c r="Q319" s="231" t="s">
        <v>20</v>
      </c>
      <c r="R319" s="231" t="s">
        <v>116</v>
      </c>
      <c r="S319" s="208">
        <f t="shared" si="187"/>
        <v>15</v>
      </c>
      <c r="T319" s="231" t="s">
        <v>116</v>
      </c>
      <c r="U319" s="208">
        <f t="shared" si="188"/>
        <v>15</v>
      </c>
      <c r="V319" s="207" t="s">
        <v>116</v>
      </c>
      <c r="W319" s="208">
        <f t="shared" si="189"/>
        <v>15</v>
      </c>
      <c r="X319" s="207" t="s">
        <v>20</v>
      </c>
      <c r="Y319" s="208">
        <f t="shared" si="190"/>
        <v>15</v>
      </c>
      <c r="Z319" s="207" t="s">
        <v>116</v>
      </c>
      <c r="AA319" s="208">
        <f t="shared" si="191"/>
        <v>15</v>
      </c>
      <c r="AB319" s="207" t="s">
        <v>116</v>
      </c>
      <c r="AC319" s="208">
        <f t="shared" si="192"/>
        <v>15</v>
      </c>
      <c r="AD319" s="207" t="s">
        <v>117</v>
      </c>
      <c r="AE319" s="208">
        <f t="shared" si="193"/>
        <v>10</v>
      </c>
      <c r="AF319" s="270">
        <f t="shared" si="194"/>
        <v>100</v>
      </c>
      <c r="AG319" s="270" t="str">
        <f t="shared" si="195"/>
        <v>Fuerte</v>
      </c>
      <c r="AH319" s="209" t="s">
        <v>118</v>
      </c>
      <c r="AI319" s="210" t="str">
        <f t="shared" si="196"/>
        <v>Fuerte</v>
      </c>
      <c r="AJ319" s="211" t="str">
        <f>IFERROR(VLOOKUP((CONCATENATE(AG319,AI319)),Listados!$U$3:$V$11,2,FALSE),"")</f>
        <v>Fuerte</v>
      </c>
      <c r="AK319" s="270">
        <f t="shared" si="197"/>
        <v>100</v>
      </c>
      <c r="AL319" s="446">
        <f>AVERAGE(AK319:AK324)</f>
        <v>100</v>
      </c>
      <c r="AM319" s="448" t="str">
        <f>IF(AL319&lt;=50, "Débil", IF(AL319&lt;=99,"Moderado","Fuerte"))</f>
        <v>Fuerte</v>
      </c>
      <c r="AN319" s="269">
        <f>+IF(AND(Q319="Preventivo",AM319="Fuerte"),2,IF(AND(Q319="Preventivo",AM319="Moderado"),1,0))</f>
        <v>2</v>
      </c>
      <c r="AO319" s="269">
        <f t="shared" si="198"/>
        <v>0</v>
      </c>
      <c r="AP319" s="212">
        <f>+K319-AN319</f>
        <v>1</v>
      </c>
      <c r="AQ319" s="212">
        <f>+M319-AO319</f>
        <v>3</v>
      </c>
      <c r="AR319" s="435" t="str">
        <f>+VLOOKUP(MIN(AP319,AP320,AP321,AP322,AP323,AP324),Listados!$J$18:$K$24,2,TRUE)</f>
        <v>Rara Vez</v>
      </c>
      <c r="AS319" s="435" t="str">
        <f>+VLOOKUP(MIN(AQ319,AQ320,AQ321,AQ322,AQ323,AQ324),Listados!$J$27:$K$32,2,TRUE)</f>
        <v>Moderado</v>
      </c>
      <c r="AT319" s="432" t="str">
        <f>IF(AND(AR319&lt;&gt;"",AS319&lt;&gt;""),VLOOKUP(AR319&amp;AS319,Listados!$M$3:$N$27,2,FALSE),"")</f>
        <v>Moderado</v>
      </c>
      <c r="AU319" s="435" t="str">
        <f>+VLOOKUP(AT319,Listados!$P$3:$Q$6,2,FALSE)</f>
        <v xml:space="preserve"> Reducir el riesgo</v>
      </c>
      <c r="AV319" s="234" t="s">
        <v>1267</v>
      </c>
      <c r="AW319" s="235" t="s">
        <v>1157</v>
      </c>
      <c r="AX319" s="241">
        <v>44805</v>
      </c>
      <c r="AY319" s="241">
        <v>44926</v>
      </c>
      <c r="AZ319" s="234" t="s">
        <v>1268</v>
      </c>
      <c r="BA319" s="235" t="s">
        <v>1266</v>
      </c>
      <c r="BB319" s="709" t="s">
        <v>1407</v>
      </c>
      <c r="BC319" s="694" t="s">
        <v>1655</v>
      </c>
      <c r="BD319" s="202"/>
      <c r="BE319" s="542" t="s">
        <v>1548</v>
      </c>
      <c r="BF319" s="559" t="s">
        <v>1815</v>
      </c>
      <c r="BG319" s="559"/>
    </row>
    <row r="320" spans="1:59" ht="70">
      <c r="A320" s="437"/>
      <c r="B320" s="441"/>
      <c r="C320" s="441"/>
      <c r="D320" s="444"/>
      <c r="E320" s="218"/>
      <c r="F320" s="218"/>
      <c r="G320" s="229" t="s">
        <v>1263</v>
      </c>
      <c r="H320" s="229" t="s">
        <v>16</v>
      </c>
      <c r="I320" s="229" t="s">
        <v>1262</v>
      </c>
      <c r="J320" s="472"/>
      <c r="K320" s="467"/>
      <c r="L320" s="478"/>
      <c r="M320" s="467"/>
      <c r="N320" s="470"/>
      <c r="O320" s="213" t="s">
        <v>1324</v>
      </c>
      <c r="P320" s="139" t="s">
        <v>1261</v>
      </c>
      <c r="Q320" s="231" t="s">
        <v>20</v>
      </c>
      <c r="R320" s="231" t="s">
        <v>116</v>
      </c>
      <c r="S320" s="208">
        <f t="shared" ref="S320" si="199">+IF(R320="si",15,"")</f>
        <v>15</v>
      </c>
      <c r="T320" s="231" t="s">
        <v>116</v>
      </c>
      <c r="U320" s="208">
        <f t="shared" ref="U320" si="200">+IF(T320="si",15,"")</f>
        <v>15</v>
      </c>
      <c r="V320" s="207" t="s">
        <v>116</v>
      </c>
      <c r="W320" s="208">
        <f t="shared" ref="W320" si="201">+IF(V320="si",15,"")</f>
        <v>15</v>
      </c>
      <c r="X320" s="207" t="s">
        <v>20</v>
      </c>
      <c r="Y320" s="208">
        <f t="shared" ref="Y320" si="202">+IF(X320="Preventivo",15,IF(X320="Detectivo",10,""))</f>
        <v>15</v>
      </c>
      <c r="Z320" s="207" t="s">
        <v>116</v>
      </c>
      <c r="AA320" s="208">
        <f t="shared" ref="AA320" si="203">+IF(Z320="si",15,"")</f>
        <v>15</v>
      </c>
      <c r="AB320" s="207" t="s">
        <v>116</v>
      </c>
      <c r="AC320" s="208">
        <f t="shared" ref="AC320" si="204">+IF(AB320="si",15,"")</f>
        <v>15</v>
      </c>
      <c r="AD320" s="207" t="s">
        <v>117</v>
      </c>
      <c r="AE320" s="208">
        <f t="shared" si="193"/>
        <v>10</v>
      </c>
      <c r="AF320" s="270">
        <f t="shared" si="194"/>
        <v>100</v>
      </c>
      <c r="AG320" s="270" t="str">
        <f t="shared" si="195"/>
        <v>Fuerte</v>
      </c>
      <c r="AH320" s="209" t="s">
        <v>118</v>
      </c>
      <c r="AI320" s="210" t="str">
        <f t="shared" si="196"/>
        <v>Fuerte</v>
      </c>
      <c r="AJ320" s="211" t="str">
        <f>IFERROR(VLOOKUP((CONCATENATE(AG320,AI320)),Listados!$U$3:$V$11,2,FALSE),"")</f>
        <v>Fuerte</v>
      </c>
      <c r="AK320" s="270">
        <f t="shared" si="197"/>
        <v>100</v>
      </c>
      <c r="AL320" s="447"/>
      <c r="AM320" s="449"/>
      <c r="AN320" s="269">
        <f>+IF(AND(Q320="Preventivo",AM319="Fuerte"),2,IF(AND(Q320="Preventivo",AM319="Moderado"),1,0))</f>
        <v>2</v>
      </c>
      <c r="AO320" s="269">
        <f t="shared" si="198"/>
        <v>0</v>
      </c>
      <c r="AP320" s="212">
        <f>+K319-AN320</f>
        <v>1</v>
      </c>
      <c r="AQ320" s="212">
        <f>+M319-AO320</f>
        <v>3</v>
      </c>
      <c r="AR320" s="433"/>
      <c r="AS320" s="433"/>
      <c r="AT320" s="433"/>
      <c r="AU320" s="433"/>
      <c r="AV320" s="585" t="s">
        <v>1269</v>
      </c>
      <c r="AW320" s="585" t="s">
        <v>1253</v>
      </c>
      <c r="AX320" s="586">
        <v>44986</v>
      </c>
      <c r="AY320" s="586">
        <v>45291</v>
      </c>
      <c r="AZ320" s="585" t="s">
        <v>1270</v>
      </c>
      <c r="BA320" s="585" t="s">
        <v>1271</v>
      </c>
      <c r="BB320" s="619"/>
      <c r="BC320" s="428"/>
      <c r="BD320" s="585"/>
      <c r="BE320" s="543"/>
      <c r="BF320" s="549"/>
      <c r="BG320" s="549"/>
    </row>
    <row r="321" spans="1:59" ht="31.5" customHeight="1">
      <c r="A321" s="437"/>
      <c r="B321" s="441"/>
      <c r="C321" s="441"/>
      <c r="D321" s="444"/>
      <c r="E321" s="218"/>
      <c r="F321" s="218"/>
      <c r="G321" s="229" t="s">
        <v>1264</v>
      </c>
      <c r="H321" s="229" t="s">
        <v>30</v>
      </c>
      <c r="I321" s="229" t="s">
        <v>1262</v>
      </c>
      <c r="J321" s="472"/>
      <c r="K321" s="467"/>
      <c r="L321" s="478"/>
      <c r="M321" s="467"/>
      <c r="N321" s="470"/>
      <c r="O321" s="213"/>
      <c r="P321" s="231"/>
      <c r="Q321" s="231"/>
      <c r="R321" s="231"/>
      <c r="S321" s="208" t="str">
        <f t="shared" si="187"/>
        <v/>
      </c>
      <c r="T321" s="231"/>
      <c r="U321" s="208" t="str">
        <f t="shared" si="188"/>
        <v/>
      </c>
      <c r="V321" s="207"/>
      <c r="W321" s="208" t="str">
        <f t="shared" si="189"/>
        <v/>
      </c>
      <c r="X321" s="207"/>
      <c r="Y321" s="208" t="str">
        <f t="shared" si="190"/>
        <v/>
      </c>
      <c r="Z321" s="207"/>
      <c r="AA321" s="208" t="str">
        <f t="shared" si="191"/>
        <v/>
      </c>
      <c r="AB321" s="207"/>
      <c r="AC321" s="208" t="str">
        <f t="shared" si="192"/>
        <v/>
      </c>
      <c r="AD321" s="207"/>
      <c r="AE321" s="208" t="str">
        <f t="shared" si="193"/>
        <v/>
      </c>
      <c r="AF321" s="270" t="str">
        <f t="shared" si="194"/>
        <v/>
      </c>
      <c r="AG321" s="270" t="str">
        <f t="shared" si="195"/>
        <v/>
      </c>
      <c r="AH321" s="209"/>
      <c r="AI321" s="210" t="str">
        <f t="shared" si="196"/>
        <v>Débil</v>
      </c>
      <c r="AJ321" s="211" t="str">
        <f>IFERROR(VLOOKUP((CONCATENATE(AG321,AI321)),Listados!$U$3:$V$11,2,FALSE),"")</f>
        <v/>
      </c>
      <c r="AK321" s="270">
        <f t="shared" si="197"/>
        <v>100</v>
      </c>
      <c r="AL321" s="447"/>
      <c r="AM321" s="449"/>
      <c r="AN321" s="269">
        <f>+IF(AND(Q321="Preventivo",AM319="Fuerte"),2,IF(AND(Q321="Preventivo",AM319="Moderado"),1,0))</f>
        <v>0</v>
      </c>
      <c r="AO321" s="269">
        <f t="shared" si="198"/>
        <v>0</v>
      </c>
      <c r="AP321" s="212">
        <f>+K319-AN321</f>
        <v>3</v>
      </c>
      <c r="AQ321" s="212">
        <f>+M319-AO321</f>
        <v>3</v>
      </c>
      <c r="AR321" s="433"/>
      <c r="AS321" s="433"/>
      <c r="AT321" s="433"/>
      <c r="AU321" s="433"/>
      <c r="AV321" s="562"/>
      <c r="AW321" s="562"/>
      <c r="AX321" s="587"/>
      <c r="AY321" s="587"/>
      <c r="AZ321" s="562"/>
      <c r="BA321" s="562"/>
      <c r="BB321" s="619"/>
      <c r="BC321" s="428"/>
      <c r="BD321" s="562"/>
      <c r="BE321" s="543"/>
      <c r="BF321" s="549"/>
      <c r="BG321" s="549"/>
    </row>
    <row r="322" spans="1:59" ht="31.5" customHeight="1">
      <c r="A322" s="437"/>
      <c r="B322" s="441"/>
      <c r="C322" s="441"/>
      <c r="D322" s="444"/>
      <c r="E322" s="218"/>
      <c r="F322" s="218"/>
      <c r="G322" s="219"/>
      <c r="H322" s="216"/>
      <c r="I322" s="216"/>
      <c r="J322" s="472"/>
      <c r="K322" s="467"/>
      <c r="L322" s="478"/>
      <c r="M322" s="467"/>
      <c r="N322" s="470"/>
      <c r="O322" s="213"/>
      <c r="P322" s="231"/>
      <c r="Q322" s="231"/>
      <c r="R322" s="231"/>
      <c r="S322" s="208" t="str">
        <f t="shared" si="187"/>
        <v/>
      </c>
      <c r="T322" s="231"/>
      <c r="U322" s="208" t="str">
        <f t="shared" si="188"/>
        <v/>
      </c>
      <c r="V322" s="207"/>
      <c r="W322" s="208" t="str">
        <f t="shared" si="189"/>
        <v/>
      </c>
      <c r="X322" s="207"/>
      <c r="Y322" s="208" t="str">
        <f t="shared" si="190"/>
        <v/>
      </c>
      <c r="Z322" s="207"/>
      <c r="AA322" s="208" t="str">
        <f t="shared" si="191"/>
        <v/>
      </c>
      <c r="AB322" s="207"/>
      <c r="AC322" s="208" t="str">
        <f t="shared" si="192"/>
        <v/>
      </c>
      <c r="AD322" s="207"/>
      <c r="AE322" s="208" t="str">
        <f t="shared" si="193"/>
        <v/>
      </c>
      <c r="AF322" s="270" t="str">
        <f t="shared" si="194"/>
        <v/>
      </c>
      <c r="AG322" s="270" t="str">
        <f t="shared" si="195"/>
        <v/>
      </c>
      <c r="AH322" s="209"/>
      <c r="AI322" s="210" t="str">
        <f t="shared" si="196"/>
        <v>Débil</v>
      </c>
      <c r="AJ322" s="211" t="str">
        <f>IFERROR(VLOOKUP((CONCATENATE(AG322,AI322)),Listados!$U$3:$V$11,2,FALSE),"")</f>
        <v/>
      </c>
      <c r="AK322" s="270">
        <f t="shared" si="197"/>
        <v>100</v>
      </c>
      <c r="AL322" s="447"/>
      <c r="AM322" s="449"/>
      <c r="AN322" s="269">
        <f>+IF(AND(Q322="Preventivo",AM319="Fuerte"),2,IF(AND(Q322="Preventivo",AM319="Moderado"),1,0))</f>
        <v>0</v>
      </c>
      <c r="AO322" s="269">
        <f t="shared" si="198"/>
        <v>0</v>
      </c>
      <c r="AP322" s="212">
        <f>+K319-AN322</f>
        <v>3</v>
      </c>
      <c r="AQ322" s="212">
        <f>+M319-AO322</f>
        <v>3</v>
      </c>
      <c r="AR322" s="433"/>
      <c r="AS322" s="433"/>
      <c r="AT322" s="433"/>
      <c r="AU322" s="433"/>
      <c r="AV322" s="562"/>
      <c r="AW322" s="562"/>
      <c r="AX322" s="587"/>
      <c r="AY322" s="587"/>
      <c r="AZ322" s="562"/>
      <c r="BA322" s="562"/>
      <c r="BB322" s="619"/>
      <c r="BC322" s="428"/>
      <c r="BD322" s="562"/>
      <c r="BE322" s="543"/>
      <c r="BF322" s="549"/>
      <c r="BG322" s="549"/>
    </row>
    <row r="323" spans="1:59" ht="31.5" customHeight="1">
      <c r="A323" s="437"/>
      <c r="B323" s="441"/>
      <c r="C323" s="441"/>
      <c r="D323" s="444"/>
      <c r="E323" s="220"/>
      <c r="F323" s="220"/>
      <c r="G323" s="221"/>
      <c r="H323" s="222"/>
      <c r="I323" s="216"/>
      <c r="J323" s="472"/>
      <c r="K323" s="467"/>
      <c r="L323" s="478"/>
      <c r="M323" s="467"/>
      <c r="N323" s="470"/>
      <c r="O323" s="213"/>
      <c r="P323" s="231"/>
      <c r="Q323" s="231"/>
      <c r="R323" s="231"/>
      <c r="S323" s="208" t="str">
        <f t="shared" si="187"/>
        <v/>
      </c>
      <c r="T323" s="231"/>
      <c r="U323" s="208" t="str">
        <f t="shared" si="188"/>
        <v/>
      </c>
      <c r="V323" s="207"/>
      <c r="W323" s="208" t="str">
        <f t="shared" si="189"/>
        <v/>
      </c>
      <c r="X323" s="207"/>
      <c r="Y323" s="208" t="str">
        <f t="shared" si="190"/>
        <v/>
      </c>
      <c r="Z323" s="207"/>
      <c r="AA323" s="208" t="str">
        <f t="shared" si="191"/>
        <v/>
      </c>
      <c r="AB323" s="207"/>
      <c r="AC323" s="208" t="str">
        <f t="shared" si="192"/>
        <v/>
      </c>
      <c r="AD323" s="207"/>
      <c r="AE323" s="208" t="str">
        <f t="shared" si="193"/>
        <v/>
      </c>
      <c r="AF323" s="270" t="str">
        <f t="shared" si="194"/>
        <v/>
      </c>
      <c r="AG323" s="270" t="str">
        <f t="shared" si="195"/>
        <v/>
      </c>
      <c r="AH323" s="209"/>
      <c r="AI323" s="210" t="str">
        <f t="shared" si="196"/>
        <v>Débil</v>
      </c>
      <c r="AJ323" s="211" t="str">
        <f>IFERROR(VLOOKUP((CONCATENATE(AG323,AI323)),Listados!$U$3:$V$11,2,FALSE),"")</f>
        <v/>
      </c>
      <c r="AK323" s="270">
        <f t="shared" si="197"/>
        <v>100</v>
      </c>
      <c r="AL323" s="447"/>
      <c r="AM323" s="449"/>
      <c r="AN323" s="269">
        <f>+IF(AND(Q323="Preventivo",AM319="Fuerte"),2,IF(AND(Q323="Preventivo",AM319="Moderado"),1,0))</f>
        <v>0</v>
      </c>
      <c r="AO323" s="269">
        <f t="shared" si="198"/>
        <v>0</v>
      </c>
      <c r="AP323" s="212">
        <f>+K319-AN323</f>
        <v>3</v>
      </c>
      <c r="AQ323" s="212">
        <f>+M319-AO323</f>
        <v>3</v>
      </c>
      <c r="AR323" s="433"/>
      <c r="AS323" s="433"/>
      <c r="AT323" s="433"/>
      <c r="AU323" s="433"/>
      <c r="AV323" s="562"/>
      <c r="AW323" s="562"/>
      <c r="AX323" s="587"/>
      <c r="AY323" s="587"/>
      <c r="AZ323" s="562"/>
      <c r="BA323" s="562"/>
      <c r="BB323" s="619"/>
      <c r="BC323" s="428"/>
      <c r="BD323" s="562"/>
      <c r="BE323" s="543"/>
      <c r="BF323" s="549"/>
      <c r="BG323" s="549"/>
    </row>
    <row r="324" spans="1:59" ht="31.5" customHeight="1" thickBot="1">
      <c r="A324" s="438"/>
      <c r="B324" s="442"/>
      <c r="C324" s="442"/>
      <c r="D324" s="445"/>
      <c r="E324" s="223"/>
      <c r="F324" s="223"/>
      <c r="G324" s="224"/>
      <c r="H324" s="225"/>
      <c r="I324" s="216"/>
      <c r="J324" s="472"/>
      <c r="K324" s="468"/>
      <c r="L324" s="478"/>
      <c r="M324" s="468"/>
      <c r="N324" s="470"/>
      <c r="O324" s="213"/>
      <c r="P324" s="231"/>
      <c r="Q324" s="231"/>
      <c r="R324" s="231"/>
      <c r="S324" s="208" t="str">
        <f t="shared" si="187"/>
        <v/>
      </c>
      <c r="T324" s="231"/>
      <c r="U324" s="208" t="str">
        <f t="shared" si="188"/>
        <v/>
      </c>
      <c r="V324" s="207"/>
      <c r="W324" s="208" t="str">
        <f t="shared" si="189"/>
        <v/>
      </c>
      <c r="X324" s="207"/>
      <c r="Y324" s="208" t="str">
        <f t="shared" si="190"/>
        <v/>
      </c>
      <c r="Z324" s="207"/>
      <c r="AA324" s="208" t="str">
        <f t="shared" si="191"/>
        <v/>
      </c>
      <c r="AB324" s="207"/>
      <c r="AC324" s="208" t="str">
        <f t="shared" si="192"/>
        <v/>
      </c>
      <c r="AD324" s="207"/>
      <c r="AE324" s="208" t="str">
        <f t="shared" si="193"/>
        <v/>
      </c>
      <c r="AF324" s="270" t="str">
        <f t="shared" si="194"/>
        <v/>
      </c>
      <c r="AG324" s="270" t="str">
        <f t="shared" si="195"/>
        <v/>
      </c>
      <c r="AH324" s="209"/>
      <c r="AI324" s="210" t="str">
        <f t="shared" si="196"/>
        <v>Débil</v>
      </c>
      <c r="AJ324" s="211" t="str">
        <f>IFERROR(VLOOKUP((CONCATENATE(AG324,AI324)),Listados!$U$3:$V$11,2,FALSE),"")</f>
        <v/>
      </c>
      <c r="AK324" s="270">
        <f t="shared" si="197"/>
        <v>100</v>
      </c>
      <c r="AL324" s="448"/>
      <c r="AM324" s="449"/>
      <c r="AN324" s="269">
        <f>+IF(AND(Q324="Preventivo",AM319="Fuerte"),2,IF(AND(Q324="Preventivo",AM319="Moderado"),1,0))</f>
        <v>0</v>
      </c>
      <c r="AO324" s="269">
        <f t="shared" si="198"/>
        <v>0</v>
      </c>
      <c r="AP324" s="212">
        <f>+K319-AN324</f>
        <v>3</v>
      </c>
      <c r="AQ324" s="212">
        <f>+M319-AO324</f>
        <v>3</v>
      </c>
      <c r="AR324" s="434"/>
      <c r="AS324" s="434"/>
      <c r="AT324" s="434"/>
      <c r="AU324" s="434"/>
      <c r="AV324" s="563"/>
      <c r="AW324" s="563"/>
      <c r="AX324" s="588"/>
      <c r="AY324" s="588"/>
      <c r="AZ324" s="563"/>
      <c r="BA324" s="563"/>
      <c r="BB324" s="620"/>
      <c r="BC324" s="429"/>
      <c r="BD324" s="563"/>
      <c r="BE324" s="544"/>
      <c r="BF324" s="550"/>
      <c r="BG324" s="550"/>
    </row>
    <row r="325" spans="1:59" ht="123.75" customHeight="1">
      <c r="A325" s="649">
        <v>55</v>
      </c>
      <c r="B325" s="652" t="s">
        <v>86</v>
      </c>
      <c r="C325" s="652" t="s">
        <v>87</v>
      </c>
      <c r="D325" s="654" t="s">
        <v>1379</v>
      </c>
      <c r="E325" s="657" t="s">
        <v>41</v>
      </c>
      <c r="F325" s="657" t="s">
        <v>189</v>
      </c>
      <c r="G325" s="660" t="s">
        <v>1380</v>
      </c>
      <c r="H325" s="657" t="s">
        <v>16</v>
      </c>
      <c r="I325" s="657" t="s">
        <v>1381</v>
      </c>
      <c r="J325" s="660" t="s">
        <v>44</v>
      </c>
      <c r="K325" s="345"/>
      <c r="L325" s="519" t="s">
        <v>36</v>
      </c>
      <c r="M325" s="345"/>
      <c r="N325" s="662" t="s">
        <v>46</v>
      </c>
      <c r="O325" s="665" t="s">
        <v>1382</v>
      </c>
      <c r="P325" s="667" t="s">
        <v>1380</v>
      </c>
      <c r="Q325" s="668" t="s">
        <v>20</v>
      </c>
      <c r="R325" s="668" t="s">
        <v>116</v>
      </c>
      <c r="S325" s="327"/>
      <c r="T325" s="668" t="s">
        <v>116</v>
      </c>
      <c r="U325" s="327"/>
      <c r="V325" s="710" t="s">
        <v>116</v>
      </c>
      <c r="W325" s="327"/>
      <c r="X325" s="710" t="s">
        <v>20</v>
      </c>
      <c r="Y325" s="327"/>
      <c r="Z325" s="710" t="s">
        <v>116</v>
      </c>
      <c r="AA325" s="327"/>
      <c r="AB325" s="710" t="s">
        <v>116</v>
      </c>
      <c r="AC325" s="327"/>
      <c r="AD325" s="710" t="s">
        <v>117</v>
      </c>
      <c r="AE325" s="327"/>
      <c r="AF325" s="670">
        <v>100</v>
      </c>
      <c r="AG325" s="670" t="s">
        <v>25</v>
      </c>
      <c r="AH325" s="671" t="s">
        <v>118</v>
      </c>
      <c r="AI325" s="673" t="s">
        <v>25</v>
      </c>
      <c r="AJ325" s="673" t="s">
        <v>25</v>
      </c>
      <c r="AK325" s="670">
        <v>100</v>
      </c>
      <c r="AL325" s="670">
        <v>100</v>
      </c>
      <c r="AM325" s="670">
        <v>100</v>
      </c>
      <c r="AN325" s="670">
        <v>1</v>
      </c>
      <c r="AO325" s="670">
        <v>1</v>
      </c>
      <c r="AP325" s="670">
        <v>2</v>
      </c>
      <c r="AQ325" s="670">
        <v>2</v>
      </c>
      <c r="AR325" s="432" t="str">
        <f>+VLOOKUP(MIN(AP319,AP320,AP321,AP322,AP323,AP324),Listados!$J$18:$K$24,2,TRUE)</f>
        <v>Rara Vez</v>
      </c>
      <c r="AS325" s="432" t="str">
        <f>+VLOOKUP(MIN(AQ319,AQ320,AQ321,AQ322,AQ323,AQ324),Listados!$J$27:$K$32,2,TRUE)</f>
        <v>Moderado</v>
      </c>
      <c r="AT325" s="469" t="str">
        <f>IF(AND(AR325&lt;&gt;"",AS325&lt;&gt;""),VLOOKUP(AR325&amp;AS325,Listados!$M$3:$N$27,2,FALSE),"")</f>
        <v>Moderado</v>
      </c>
      <c r="AU325" s="432" t="str">
        <f>+VLOOKUP(AT319,Listados!$P$3:$Q$6,2,FALSE)</f>
        <v xml:space="preserve"> Reducir el riesgo</v>
      </c>
      <c r="AV325" s="238" t="s">
        <v>1383</v>
      </c>
      <c r="AW325" s="238" t="s">
        <v>1240</v>
      </c>
      <c r="AX325" s="346">
        <v>45231</v>
      </c>
      <c r="AY325" s="346" t="s">
        <v>1384</v>
      </c>
      <c r="AZ325" s="238" t="s">
        <v>1385</v>
      </c>
      <c r="BA325" s="238" t="s">
        <v>1386</v>
      </c>
      <c r="BB325" s="709" t="s">
        <v>1387</v>
      </c>
      <c r="BC325" s="696" t="s">
        <v>1642</v>
      </c>
      <c r="BD325" s="238"/>
      <c r="BE325" s="556" t="s">
        <v>1542</v>
      </c>
      <c r="BF325" s="882" t="s">
        <v>1816</v>
      </c>
      <c r="BG325" s="202"/>
    </row>
    <row r="326" spans="1:59" ht="75" customHeight="1">
      <c r="A326" s="650"/>
      <c r="B326" s="441"/>
      <c r="C326" s="441"/>
      <c r="D326" s="655"/>
      <c r="E326" s="658"/>
      <c r="F326" s="658"/>
      <c r="G326" s="661"/>
      <c r="H326" s="658"/>
      <c r="I326" s="658"/>
      <c r="J326" s="661"/>
      <c r="K326" s="345"/>
      <c r="L326" s="518"/>
      <c r="M326" s="345"/>
      <c r="N326" s="663"/>
      <c r="O326" s="666"/>
      <c r="P326" s="667"/>
      <c r="Q326" s="669"/>
      <c r="R326" s="669"/>
      <c r="S326" s="327"/>
      <c r="T326" s="669"/>
      <c r="U326" s="327"/>
      <c r="V326" s="457"/>
      <c r="W326" s="327"/>
      <c r="X326" s="457"/>
      <c r="Y326" s="327"/>
      <c r="Z326" s="457"/>
      <c r="AA326" s="327"/>
      <c r="AB326" s="457"/>
      <c r="AC326" s="327"/>
      <c r="AD326" s="457"/>
      <c r="AE326" s="327"/>
      <c r="AF326" s="448"/>
      <c r="AG326" s="448"/>
      <c r="AH326" s="672"/>
      <c r="AI326" s="674"/>
      <c r="AJ326" s="674"/>
      <c r="AK326" s="448"/>
      <c r="AL326" s="448"/>
      <c r="AM326" s="448"/>
      <c r="AN326" s="448"/>
      <c r="AO326" s="448"/>
      <c r="AP326" s="448"/>
      <c r="AQ326" s="448"/>
      <c r="AR326" s="433"/>
      <c r="AS326" s="433"/>
      <c r="AT326" s="469"/>
      <c r="AU326" s="433"/>
      <c r="AV326" s="238" t="s">
        <v>1388</v>
      </c>
      <c r="AW326" s="238" t="s">
        <v>1251</v>
      </c>
      <c r="AX326" s="346">
        <v>44927</v>
      </c>
      <c r="AY326" s="346">
        <v>45291</v>
      </c>
      <c r="AZ326" s="238" t="s">
        <v>1385</v>
      </c>
      <c r="BA326" s="238" t="s">
        <v>1389</v>
      </c>
      <c r="BB326" s="619"/>
      <c r="BC326" s="546"/>
      <c r="BD326" s="238"/>
      <c r="BE326" s="557"/>
      <c r="BF326" s="549"/>
      <c r="BG326" s="202"/>
    </row>
    <row r="327" spans="1:59" ht="121.15" customHeight="1" thickBot="1">
      <c r="A327" s="651"/>
      <c r="B327" s="653"/>
      <c r="C327" s="653"/>
      <c r="D327" s="656"/>
      <c r="E327" s="659"/>
      <c r="F327" s="659"/>
      <c r="G327" s="471"/>
      <c r="H327" s="659"/>
      <c r="I327" s="659"/>
      <c r="J327" s="471"/>
      <c r="K327" s="252"/>
      <c r="L327" s="477"/>
      <c r="M327" s="252"/>
      <c r="N327" s="664"/>
      <c r="O327" s="252" t="s">
        <v>1390</v>
      </c>
      <c r="P327" s="248" t="s">
        <v>1380</v>
      </c>
      <c r="Q327" s="347" t="s">
        <v>123</v>
      </c>
      <c r="R327" s="347" t="s">
        <v>116</v>
      </c>
      <c r="S327" s="326"/>
      <c r="T327" s="326" t="s">
        <v>116</v>
      </c>
      <c r="U327" s="326"/>
      <c r="V327" s="328" t="s">
        <v>116</v>
      </c>
      <c r="W327" s="326"/>
      <c r="X327" s="328" t="s">
        <v>123</v>
      </c>
      <c r="Y327" s="326"/>
      <c r="Z327" s="328" t="s">
        <v>116</v>
      </c>
      <c r="AA327" s="326"/>
      <c r="AB327" s="328" t="s">
        <v>116</v>
      </c>
      <c r="AC327" s="326"/>
      <c r="AD327" s="328" t="s">
        <v>117</v>
      </c>
      <c r="AE327" s="326"/>
      <c r="AF327" s="348">
        <v>100</v>
      </c>
      <c r="AG327" s="348" t="s">
        <v>25</v>
      </c>
      <c r="AH327" s="349" t="s">
        <v>118</v>
      </c>
      <c r="AI327" s="350" t="s">
        <v>25</v>
      </c>
      <c r="AJ327" s="350" t="s">
        <v>25</v>
      </c>
      <c r="AK327" s="348">
        <v>100</v>
      </c>
      <c r="AL327" s="348">
        <v>100</v>
      </c>
      <c r="AM327" s="348">
        <v>100</v>
      </c>
      <c r="AN327" s="348">
        <v>2</v>
      </c>
      <c r="AO327" s="348">
        <v>1</v>
      </c>
      <c r="AP327" s="351">
        <v>2</v>
      </c>
      <c r="AQ327" s="351">
        <v>2</v>
      </c>
      <c r="AR327" s="434"/>
      <c r="AS327" s="434"/>
      <c r="AT327" s="469"/>
      <c r="AU327" s="434"/>
      <c r="AV327" s="200" t="s">
        <v>1391</v>
      </c>
      <c r="AW327" s="201" t="s">
        <v>1251</v>
      </c>
      <c r="AX327" s="346">
        <v>44927</v>
      </c>
      <c r="AY327" s="346">
        <v>45291</v>
      </c>
      <c r="AZ327" s="201" t="s">
        <v>1385</v>
      </c>
      <c r="BA327" s="201" t="s">
        <v>1392</v>
      </c>
      <c r="BB327" s="620"/>
      <c r="BC327" s="697"/>
      <c r="BD327" s="201"/>
      <c r="BE327" s="558"/>
      <c r="BF327" s="883"/>
      <c r="BG327" s="201"/>
    </row>
    <row r="328" spans="1:59" s="291" customFormat="1" ht="126.5" thickBot="1">
      <c r="A328" s="436">
        <v>55</v>
      </c>
      <c r="B328" s="678" t="s">
        <v>101</v>
      </c>
      <c r="C328" s="679" t="s">
        <v>1554</v>
      </c>
      <c r="D328" s="443" t="s">
        <v>1555</v>
      </c>
      <c r="E328" s="226" t="s">
        <v>29</v>
      </c>
      <c r="F328" s="226" t="s">
        <v>189</v>
      </c>
      <c r="G328" s="382" t="s">
        <v>1556</v>
      </c>
      <c r="H328" s="382" t="s">
        <v>30</v>
      </c>
      <c r="I328" s="382" t="s">
        <v>1557</v>
      </c>
      <c r="J328" s="681" t="s">
        <v>53</v>
      </c>
      <c r="K328" s="683">
        <f>+VLOOKUP(J328,[5]Listados!$K$8:$L$12,2,0)</f>
        <v>4</v>
      </c>
      <c r="L328" s="685" t="s">
        <v>54</v>
      </c>
      <c r="M328" s="683">
        <f>+VLOOKUP(L328,[5]Listados!$K$13:$L$17,2,0)</f>
        <v>4</v>
      </c>
      <c r="N328" s="687" t="str">
        <f>IF(AND(J328&lt;&gt;"",L328&lt;&gt;""),VLOOKUP(J328&amp;L328,[5]Listados!$M$3:$N$27,2,FALSE),"")</f>
        <v>Extremo</v>
      </c>
      <c r="O328" s="382" t="s">
        <v>1558</v>
      </c>
      <c r="P328" s="382" t="s">
        <v>185</v>
      </c>
      <c r="Q328" s="383" t="s">
        <v>123</v>
      </c>
      <c r="R328" s="381" t="s">
        <v>116</v>
      </c>
      <c r="S328" s="384">
        <f t="shared" ref="S328:S329" si="205">+IF(R328="si",15,"")</f>
        <v>15</v>
      </c>
      <c r="T328" s="381" t="s">
        <v>257</v>
      </c>
      <c r="U328" s="384">
        <f t="shared" ref="U328:U329" si="206">+IF(T328="si",15,"")</f>
        <v>15</v>
      </c>
      <c r="V328" s="381" t="s">
        <v>257</v>
      </c>
      <c r="W328" s="384">
        <f t="shared" ref="W328:W329" si="207">+IF(V328="si",15,"")</f>
        <v>15</v>
      </c>
      <c r="X328" s="381" t="s">
        <v>123</v>
      </c>
      <c r="Y328" s="384">
        <f t="shared" ref="Y328:Y329" si="208">+IF(X328="Preventivo",15,IF(X328="Detectivo",10,""))</f>
        <v>10</v>
      </c>
      <c r="Z328" s="381" t="s">
        <v>257</v>
      </c>
      <c r="AA328" s="384">
        <f t="shared" ref="AA328:AA329" si="209">+IF(Z328="si",15,"")</f>
        <v>15</v>
      </c>
      <c r="AB328" s="381" t="s">
        <v>257</v>
      </c>
      <c r="AC328" s="384">
        <f t="shared" ref="AC328:AC329" si="210">+IF(AB328="si",15,"")</f>
        <v>15</v>
      </c>
      <c r="AD328" s="381" t="s">
        <v>117</v>
      </c>
      <c r="AE328" s="384">
        <f t="shared" ref="AE328:AE329" si="211">+IF(AD328="Completa",10,IF(AD328="Incompleta",5,""))</f>
        <v>10</v>
      </c>
      <c r="AF328" s="385">
        <f t="shared" ref="AF328:AF329" si="212">IF((SUM(S328,U328,W328,Y328,AA328,AC328,AE328)=0),"",(SUM(S328,U328,W328,Y328,AA328,AC328,AE328)))</f>
        <v>95</v>
      </c>
      <c r="AG328" s="385" t="str">
        <f t="shared" ref="AG328:AG329" si="213">IF(AF328&lt;=85,"Débil",IF(AF328&lt;=95,"Moderado",IF(AF328=100,"Fuerte","")))</f>
        <v>Moderado</v>
      </c>
      <c r="AH328" s="386" t="s">
        <v>118</v>
      </c>
      <c r="AI328" s="387" t="str">
        <f t="shared" ref="AI328:AI329" si="214">+IF(AH328="siempre","Fuerte",IF(AH328="Algunas veces","Moderado","Débil"))</f>
        <v>Fuerte</v>
      </c>
      <c r="AJ328" s="387" t="str">
        <f>IFERROR(VLOOKUP((CONCATENATE(AG328,AI328)),[5]Listados!$U$3:$V$11,2,FALSE),"")</f>
        <v>Moderado</v>
      </c>
      <c r="AK328" s="385">
        <f t="shared" ref="AK328:AK329" si="215">IF(ISBLANK(AJ328),"",IF(AJ328="Débil", 0, IF(AJ328="Moderado",50,100)))</f>
        <v>50</v>
      </c>
      <c r="AL328" s="689">
        <f>AVERAGE(AK328:AK329)</f>
        <v>50</v>
      </c>
      <c r="AM328" s="689" t="str">
        <f>IF(AL328&lt;=50, "Débil", IF(AL328&lt;=99,"Moderado","Fuerte"))</f>
        <v>Débil</v>
      </c>
      <c r="AN328" s="388">
        <f>+IF(AND(Q328="Preventivo",AM328="Fuerte"),2,IF(AND(Q328="Preventivo",AM328="Moderado"),1,0))</f>
        <v>0</v>
      </c>
      <c r="AO328" s="348">
        <v>1</v>
      </c>
      <c r="AP328" s="389">
        <f>+K328-AN328</f>
        <v>4</v>
      </c>
      <c r="AQ328" s="389">
        <f>+M328-AO328</f>
        <v>3</v>
      </c>
      <c r="AR328" s="687" t="str">
        <f>+VLOOKUP(MIN(AP319,AP320,AP321,AP322,AP323,AP324),Listados!$J$18:$K$24,2,TRUE)</f>
        <v>Rara Vez</v>
      </c>
      <c r="AS328" s="687" t="str">
        <f>+VLOOKUP(MIN(AQ319,AQ320,AQ321,AQ322,AQ323,AQ324),Listados!$J$27:$K$32,2,TRUE)</f>
        <v>Moderado</v>
      </c>
      <c r="AT328" s="687" t="str">
        <f>IF(AND(AR328&lt;&gt;"",AS328&lt;&gt;""),VLOOKUP(AR328&amp;AS328,[5]Listados!$M$3:$N$27,2,FALSE),"")</f>
        <v>Moderado</v>
      </c>
      <c r="AU328" s="687" t="str">
        <f>+VLOOKUP(AT319,Listados!$P$3:$Q$6,2,FALSE)</f>
        <v xml:space="preserve"> Reducir el riesgo</v>
      </c>
      <c r="AV328" s="390" t="s">
        <v>1559</v>
      </c>
      <c r="AW328" s="391" t="s">
        <v>1061</v>
      </c>
      <c r="AX328" s="346">
        <v>44927</v>
      </c>
      <c r="AY328" s="346">
        <v>45291</v>
      </c>
      <c r="AZ328" s="390" t="s">
        <v>1132</v>
      </c>
      <c r="BA328" s="390" t="s">
        <v>1129</v>
      </c>
      <c r="BB328" s="392"/>
      <c r="BC328" s="687" t="s">
        <v>1757</v>
      </c>
      <c r="BD328" s="687"/>
      <c r="BE328" s="691"/>
      <c r="BF328" s="691" t="s">
        <v>1817</v>
      </c>
      <c r="BG328" s="692"/>
    </row>
    <row r="329" spans="1:59" s="291" customFormat="1" ht="214.5" customHeight="1" thickBot="1">
      <c r="A329" s="677"/>
      <c r="B329" s="483"/>
      <c r="C329" s="441"/>
      <c r="D329" s="680"/>
      <c r="E329" s="217"/>
      <c r="F329" s="217"/>
      <c r="G329" s="251" t="s">
        <v>1560</v>
      </c>
      <c r="H329" s="259" t="s">
        <v>30</v>
      </c>
      <c r="I329" s="251" t="s">
        <v>1561</v>
      </c>
      <c r="J329" s="682"/>
      <c r="K329" s="684"/>
      <c r="L329" s="686"/>
      <c r="M329" s="684"/>
      <c r="N329" s="688"/>
      <c r="O329" s="251" t="s">
        <v>1562</v>
      </c>
      <c r="P329" s="251" t="s">
        <v>185</v>
      </c>
      <c r="Q329" s="347" t="s">
        <v>123</v>
      </c>
      <c r="R329" s="328" t="s">
        <v>116</v>
      </c>
      <c r="S329" s="208">
        <f t="shared" si="205"/>
        <v>15</v>
      </c>
      <c r="T329" s="328" t="s">
        <v>257</v>
      </c>
      <c r="U329" s="208">
        <f t="shared" si="206"/>
        <v>15</v>
      </c>
      <c r="V329" s="328" t="s">
        <v>257</v>
      </c>
      <c r="W329" s="208">
        <f t="shared" si="207"/>
        <v>15</v>
      </c>
      <c r="X329" s="381" t="s">
        <v>123</v>
      </c>
      <c r="Y329" s="208">
        <f t="shared" si="208"/>
        <v>10</v>
      </c>
      <c r="Z329" s="328" t="s">
        <v>257</v>
      </c>
      <c r="AA329" s="208">
        <f t="shared" si="209"/>
        <v>15</v>
      </c>
      <c r="AB329" s="328" t="s">
        <v>257</v>
      </c>
      <c r="AC329" s="208">
        <f t="shared" si="210"/>
        <v>15</v>
      </c>
      <c r="AD329" s="328" t="s">
        <v>117</v>
      </c>
      <c r="AE329" s="208">
        <f t="shared" si="211"/>
        <v>10</v>
      </c>
      <c r="AF329" s="270">
        <f t="shared" si="212"/>
        <v>95</v>
      </c>
      <c r="AG329" s="270" t="str">
        <f t="shared" si="213"/>
        <v>Moderado</v>
      </c>
      <c r="AH329" s="349" t="s">
        <v>118</v>
      </c>
      <c r="AI329" s="350" t="str">
        <f t="shared" si="214"/>
        <v>Fuerte</v>
      </c>
      <c r="AJ329" s="211" t="str">
        <f>IFERROR(VLOOKUP((CONCATENATE(AG329,AI329)),[5]Listados!$U$3:$V$11,2,FALSE),"")</f>
        <v>Moderado</v>
      </c>
      <c r="AK329" s="270">
        <f t="shared" si="215"/>
        <v>50</v>
      </c>
      <c r="AL329" s="447"/>
      <c r="AM329" s="690"/>
      <c r="AN329" s="393">
        <f>+IF(AND(Q329="Preventivo",AM328="Fuerte"),2,IF(AND(Q329="Preventivo",AM328="Moderado"),1,0))</f>
        <v>0</v>
      </c>
      <c r="AO329" s="348">
        <v>1</v>
      </c>
      <c r="AP329" s="394">
        <f>+K328-AN329</f>
        <v>4</v>
      </c>
      <c r="AQ329" s="394">
        <f>+M328-AO329</f>
        <v>3</v>
      </c>
      <c r="AR329" s="433"/>
      <c r="AS329" s="433"/>
      <c r="AT329" s="433"/>
      <c r="AU329" s="688"/>
      <c r="AV329" s="395" t="s">
        <v>1563</v>
      </c>
      <c r="AW329" s="396" t="s">
        <v>1061</v>
      </c>
      <c r="AX329" s="346">
        <v>44927</v>
      </c>
      <c r="AY329" s="346">
        <v>45291</v>
      </c>
      <c r="AZ329" s="396" t="s">
        <v>1132</v>
      </c>
      <c r="BA329" s="396" t="s">
        <v>1564</v>
      </c>
      <c r="BB329" s="396"/>
      <c r="BC329" s="434"/>
      <c r="BD329" s="433"/>
      <c r="BE329" s="594"/>
      <c r="BF329" s="594"/>
      <c r="BG329" s="693"/>
    </row>
    <row r="330" spans="1:59" ht="232.5" customHeight="1" thickBot="1">
      <c r="A330" s="413">
        <v>56</v>
      </c>
      <c r="B330" s="421" t="s">
        <v>27</v>
      </c>
      <c r="C330" s="380" t="str">
        <f>IFERROR(VLOOKUP(B330,[6]Listados!B$3:C$20,2,FALSE),"")</f>
        <v>Proveer información oportuna, confiable, veraz y accesible a clientes internos y externos del Ministerio de Justicia y del Derecho.</v>
      </c>
      <c r="D330" s="414" t="s">
        <v>1567</v>
      </c>
      <c r="E330" s="245" t="s">
        <v>15</v>
      </c>
      <c r="F330" s="217" t="s">
        <v>177</v>
      </c>
      <c r="G330" s="251" t="s">
        <v>1565</v>
      </c>
      <c r="H330" s="259" t="s">
        <v>16</v>
      </c>
      <c r="I330" s="251" t="s">
        <v>1566</v>
      </c>
      <c r="J330" s="397" t="s">
        <v>53</v>
      </c>
      <c r="K330" s="400">
        <f>+VLOOKUP(J330,[5]Listados!$K$8:$L$12,2,0)</f>
        <v>4</v>
      </c>
      <c r="L330" s="398" t="s">
        <v>54</v>
      </c>
      <c r="M330" s="400">
        <f>+VLOOKUP(L330,[5]Listados!$K$13:$L$17,2,0)</f>
        <v>4</v>
      </c>
      <c r="N330" s="390" t="str">
        <f>IF(AND(J330&lt;&gt;"",L330&lt;&gt;""),VLOOKUP(J330&amp;L330,[5]Listados!$M$3:$N$27,2,FALSE),"")</f>
        <v>Extremo</v>
      </c>
      <c r="O330" s="251" t="s">
        <v>1568</v>
      </c>
      <c r="P330" s="251" t="s">
        <v>1565</v>
      </c>
      <c r="Q330" s="347" t="s">
        <v>20</v>
      </c>
      <c r="R330" s="328" t="s">
        <v>116</v>
      </c>
      <c r="S330" s="208" t="s">
        <v>257</v>
      </c>
      <c r="T330" s="328" t="s">
        <v>257</v>
      </c>
      <c r="U330" s="208" t="s">
        <v>20</v>
      </c>
      <c r="V330" s="328" t="s">
        <v>257</v>
      </c>
      <c r="W330" s="208" t="s">
        <v>257</v>
      </c>
      <c r="X330" s="381" t="s">
        <v>117</v>
      </c>
      <c r="Z330" s="328" t="s">
        <v>257</v>
      </c>
      <c r="AA330" s="208">
        <f t="shared" ref="AA330" si="216">+IF(Z330="si",15,"")</f>
        <v>15</v>
      </c>
      <c r="AB330" s="328" t="s">
        <v>257</v>
      </c>
      <c r="AC330" s="208">
        <f t="shared" ref="AC330" si="217">+IF(AB330="si",15,"")</f>
        <v>15</v>
      </c>
      <c r="AD330" s="328" t="s">
        <v>117</v>
      </c>
      <c r="AF330" s="270">
        <f t="shared" ref="AF330" si="218">IF((SUM(S330,U330,W330,Y330,AA330,AC330,AE330)=0),"",(SUM(S330,U330,W330,Y330,AA330,AC330,AE330)))</f>
        <v>30</v>
      </c>
      <c r="AG330" s="270" t="str">
        <f t="shared" ref="AG330" si="219">IF(AF330&lt;=85,"Débil",IF(AF330&lt;=95,"Moderado",IF(AF330=100,"Fuerte","")))</f>
        <v>Débil</v>
      </c>
      <c r="AH330" s="349" t="s">
        <v>118</v>
      </c>
      <c r="AI330" s="350" t="str">
        <f t="shared" ref="AI330" si="220">+IF(AH330="siempre","Fuerte",IF(AH330="Algunas veces","Moderado","Débil"))</f>
        <v>Fuerte</v>
      </c>
      <c r="AJ330" s="211" t="str">
        <f>IFERROR(VLOOKUP((CONCATENATE(AG330,AI330)),[5]Listados!$U$3:$V$11,2,FALSE),"")</f>
        <v>Débil</v>
      </c>
      <c r="AK330" s="270">
        <f t="shared" ref="AK330" si="221">IF(ISBLANK(AJ330),"",IF(AJ330="Débil", 0, IF(AJ330="Moderado",50,100)))</f>
        <v>0</v>
      </c>
      <c r="AL330" s="348">
        <v>100</v>
      </c>
      <c r="AM330" s="385" t="str">
        <f>IF(AL330&lt;=50, "Débil", IF(AL330&lt;=99,"Moderado","Fuerte"))</f>
        <v>Fuerte</v>
      </c>
      <c r="AN330" s="348">
        <f>+IF(AND(Q330="Preventivo",AM329="Fuerte"),2,IF(AND(Q330="Preventivo",AM329="Moderado"),1,0))</f>
        <v>0</v>
      </c>
      <c r="AO330" s="348">
        <v>2</v>
      </c>
      <c r="AP330" s="351">
        <f>+K329-AN330</f>
        <v>0</v>
      </c>
      <c r="AQ330" s="351">
        <f>+M329-AO330</f>
        <v>-2</v>
      </c>
      <c r="AR330" s="390" t="str">
        <f>+VLOOKUP(MIN(AP321,AP322,AP323,AP324,AP325,AP326),Listados!$J$18:$K$24,2,TRUE)</f>
        <v>Improbable</v>
      </c>
      <c r="AS330" s="390" t="str">
        <f>+VLOOKUP(MIN(AQ321,AQ322,AQ323,AQ324,AQ325,AQ326),Listados!$J$27:$K$32,2,TRUE)</f>
        <v>Menor</v>
      </c>
      <c r="AT330" s="390" t="str">
        <f>IF(AND(AR330&lt;&gt;"",AS330&lt;&gt;""),VLOOKUP(AR330&amp;AS330,[5]Listados!$M$3:$N$27,2,FALSE),"")</f>
        <v>Bajo</v>
      </c>
      <c r="AU330" s="399" t="e">
        <f>+VLOOKUP(AT321,Listados!$P$3:$Q$6,2,FALSE)</f>
        <v>#N/A</v>
      </c>
      <c r="AV330" s="252" t="s">
        <v>1569</v>
      </c>
      <c r="AW330" s="239" t="s">
        <v>1570</v>
      </c>
      <c r="AX330" s="346">
        <v>44927</v>
      </c>
      <c r="AY330" s="346">
        <v>45291</v>
      </c>
      <c r="AZ330" s="239" t="s">
        <v>1571</v>
      </c>
      <c r="BA330" s="239" t="s">
        <v>1572</v>
      </c>
      <c r="BB330" s="201"/>
      <c r="BC330" s="200" t="s">
        <v>1573</v>
      </c>
      <c r="BD330" s="201"/>
      <c r="BE330" s="401"/>
      <c r="BF330" s="200" t="s">
        <v>1818</v>
      </c>
      <c r="BG330" s="201"/>
    </row>
    <row r="331" spans="1:59" ht="168.5" thickBot="1">
      <c r="A331" s="413">
        <v>57</v>
      </c>
      <c r="B331" s="248" t="s">
        <v>89</v>
      </c>
      <c r="C331" s="334" t="str">
        <f>IFERROR(VLOOKUP(B331,Listados!B$3:C$20,2,FALSE),"")</f>
        <v>Optimizar la operación de los procesos del MJD, mediante la gestión efectiva de los recursos tecnológicos, con el fin de brindar una adecuada disponibilidad de los servicios informáticos que soportan la operación del Ministerio, aplicando las iniciativas estratégicas definidas en las arquitecturas de la organización de TI, información, aplicaciones y tecnológicas. </v>
      </c>
      <c r="D331" s="414" t="s">
        <v>1724</v>
      </c>
      <c r="E331" s="245" t="s">
        <v>62</v>
      </c>
      <c r="F331" s="217" t="s">
        <v>189</v>
      </c>
      <c r="G331" s="251" t="s">
        <v>1725</v>
      </c>
      <c r="H331" s="259" t="s">
        <v>16</v>
      </c>
      <c r="I331" s="251" t="s">
        <v>204</v>
      </c>
      <c r="J331" s="397" t="s">
        <v>21</v>
      </c>
      <c r="K331" s="400">
        <f>+VLOOKUP(J331,[5]Listados!$K$8:$L$12,2,0)</f>
        <v>1</v>
      </c>
      <c r="L331" s="398" t="s">
        <v>54</v>
      </c>
      <c r="M331" s="400">
        <f>+VLOOKUP(L331,[5]Listados!$K$13:$L$17,2,0)</f>
        <v>4</v>
      </c>
      <c r="N331" s="390" t="str">
        <f>IF(AND(J331&lt;&gt;"",L331&lt;&gt;""),VLOOKUP(J331&amp;L331,[5]Listados!$M$3:$N$27,2,FALSE),"")</f>
        <v>Alto</v>
      </c>
      <c r="O331" s="251" t="s">
        <v>1728</v>
      </c>
      <c r="P331" s="251" t="s">
        <v>206</v>
      </c>
      <c r="Q331" s="347" t="s">
        <v>123</v>
      </c>
      <c r="R331" s="328" t="s">
        <v>116</v>
      </c>
      <c r="S331" s="208" t="s">
        <v>257</v>
      </c>
      <c r="T331" s="328" t="s">
        <v>257</v>
      </c>
      <c r="U331" s="208" t="s">
        <v>20</v>
      </c>
      <c r="V331" s="328" t="s">
        <v>257</v>
      </c>
      <c r="W331" s="208" t="s">
        <v>257</v>
      </c>
      <c r="X331" s="381" t="s">
        <v>117</v>
      </c>
      <c r="Z331" s="328" t="s">
        <v>257</v>
      </c>
      <c r="AA331" s="208">
        <f t="shared" ref="AA331:AA332" si="222">+IF(Z331="si",15,"")</f>
        <v>15</v>
      </c>
      <c r="AB331" s="328" t="s">
        <v>257</v>
      </c>
      <c r="AC331" s="208">
        <f t="shared" ref="AC331:AC332" si="223">+IF(AB331="si",15,"")</f>
        <v>15</v>
      </c>
      <c r="AD331" s="328" t="s">
        <v>117</v>
      </c>
      <c r="AF331" s="270">
        <f t="shared" ref="AF331:AF332" si="224">IF((SUM(S331,U331,W331,Y331,AA331,AC331,AE331)=0),"",(SUM(S331,U331,W331,Y331,AA331,AC331,AE331)))</f>
        <v>30</v>
      </c>
      <c r="AG331" s="270" t="str">
        <f t="shared" ref="AG331:AG332" si="225">IF(AF331&lt;=85,"Débil",IF(AF331&lt;=95,"Moderado",IF(AF331=100,"Fuerte","")))</f>
        <v>Débil</v>
      </c>
      <c r="AH331" s="349" t="s">
        <v>118</v>
      </c>
      <c r="AI331" s="350" t="str">
        <f t="shared" ref="AI331:AI332" si="226">+IF(AH331="siempre","Fuerte",IF(AH331="Algunas veces","Moderado","Débil"))</f>
        <v>Fuerte</v>
      </c>
      <c r="AJ331" s="211" t="str">
        <f>IFERROR(VLOOKUP((CONCATENATE(AG331,AI331)),[5]Listados!$U$3:$V$11,2,FALSE),"")</f>
        <v>Débil</v>
      </c>
      <c r="AK331" s="270">
        <f t="shared" ref="AK331:AK332" si="227">IF(ISBLANK(AJ331),"",IF(AJ331="Débil", 0, IF(AJ331="Moderado",50,100)))</f>
        <v>0</v>
      </c>
      <c r="AL331" s="348">
        <v>101</v>
      </c>
      <c r="AM331" s="385" t="str">
        <f>IF(AL331&lt;=50, "Débil", IF(AL331&lt;=99,"Moderado","Fuerte"))</f>
        <v>Fuerte</v>
      </c>
      <c r="AN331" s="348">
        <f>+IF(AND(Q331="Preventivo",AM330="Fuerte"),2,IF(AND(Q331="Preventivo",AM330="Moderado"),1,0))</f>
        <v>0</v>
      </c>
      <c r="AO331" s="348">
        <v>3</v>
      </c>
      <c r="AP331" s="351">
        <f>+K330-AN331</f>
        <v>4</v>
      </c>
      <c r="AQ331" s="351">
        <f>+M330-AO331</f>
        <v>1</v>
      </c>
      <c r="AR331" s="390" t="str">
        <f>+VLOOKUP(MIN(AP322,AP323,AP324,AP325,AP326,AP327),Listados!$J$18:$K$24,2,TRUE)</f>
        <v>Improbable</v>
      </c>
      <c r="AS331" s="390" t="str">
        <f>+VLOOKUP(MIN(AQ322,AQ323,AQ324,AQ325,AQ326,AQ327),Listados!$J$27:$K$32,2,TRUE)</f>
        <v>Menor</v>
      </c>
      <c r="AT331" s="390" t="str">
        <f>IF(AND(AR331&lt;&gt;"",AS331&lt;&gt;""),VLOOKUP(AR331&amp;AS331,[5]Listados!$M$3:$N$27,2,FALSE),"")</f>
        <v>Bajo</v>
      </c>
      <c r="AU331" s="399" t="e">
        <f>+VLOOKUP(AT322,Listados!$P$3:$Q$6,2,FALSE)</f>
        <v>#N/A</v>
      </c>
      <c r="AV331" s="199" t="s">
        <v>1160</v>
      </c>
      <c r="AW331" s="198" t="s">
        <v>1157</v>
      </c>
      <c r="AX331" s="198" t="s">
        <v>1046</v>
      </c>
      <c r="AY331" s="198" t="s">
        <v>1046</v>
      </c>
      <c r="AZ331" s="199" t="s">
        <v>1158</v>
      </c>
      <c r="BA331" s="199" t="s">
        <v>1730</v>
      </c>
      <c r="BB331" s="201"/>
      <c r="BC331" s="200" t="s">
        <v>1731</v>
      </c>
      <c r="BD331" s="201"/>
      <c r="BE331" s="201"/>
      <c r="BF331" s="200" t="s">
        <v>1819</v>
      </c>
      <c r="BG331" s="201"/>
    </row>
    <row r="332" spans="1:59" ht="168">
      <c r="A332" s="413">
        <v>58</v>
      </c>
      <c r="B332" s="251" t="s">
        <v>89</v>
      </c>
      <c r="C332" s="334" t="str">
        <f>IFERROR(VLOOKUP(B332,Listados!B$3:C$20,2,FALSE),"")</f>
        <v>Optimizar la operación de los procesos del MJD, mediante la gestión efectiva de los recursos tecnológicos, con el fin de brindar una adecuada disponibilidad de los servicios informáticos que soportan la operación del Ministerio, aplicando las iniciativas estratégicas definidas en las arquitecturas de la organización de TI, información, aplicaciones y tecnológicas. </v>
      </c>
      <c r="D332" s="414" t="s">
        <v>1724</v>
      </c>
      <c r="E332" s="245" t="s">
        <v>62</v>
      </c>
      <c r="F332" s="217" t="s">
        <v>189</v>
      </c>
      <c r="G332" s="251" t="s">
        <v>1726</v>
      </c>
      <c r="H332" s="259" t="s">
        <v>16</v>
      </c>
      <c r="I332" s="251" t="s">
        <v>1727</v>
      </c>
      <c r="J332" s="397" t="s">
        <v>21</v>
      </c>
      <c r="K332" s="400">
        <f>+VLOOKUP(J332,[5]Listados!$K$8:$L$12,2,0)</f>
        <v>1</v>
      </c>
      <c r="L332" s="398" t="s">
        <v>54</v>
      </c>
      <c r="M332" s="400">
        <f>+VLOOKUP(L332,[5]Listados!$K$13:$L$17,2,0)</f>
        <v>4</v>
      </c>
      <c r="N332" s="390" t="str">
        <f>IF(AND(J332&lt;&gt;"",L332&lt;&gt;""),VLOOKUP(J332&amp;L332,[5]Listados!$M$3:$N$27,2,FALSE),"")</f>
        <v>Alto</v>
      </c>
      <c r="O332" s="251" t="s">
        <v>1729</v>
      </c>
      <c r="P332" s="251" t="s">
        <v>202</v>
      </c>
      <c r="Q332" s="347" t="s">
        <v>20</v>
      </c>
      <c r="R332" s="328" t="s">
        <v>116</v>
      </c>
      <c r="S332" s="208" t="s">
        <v>257</v>
      </c>
      <c r="T332" s="328" t="s">
        <v>257</v>
      </c>
      <c r="U332" s="208" t="s">
        <v>20</v>
      </c>
      <c r="V332" s="328" t="s">
        <v>257</v>
      </c>
      <c r="W332" s="208" t="s">
        <v>257</v>
      </c>
      <c r="X332" s="381" t="s">
        <v>117</v>
      </c>
      <c r="Z332" s="328" t="s">
        <v>257</v>
      </c>
      <c r="AA332" s="208">
        <f t="shared" si="222"/>
        <v>15</v>
      </c>
      <c r="AB332" s="328" t="s">
        <v>257</v>
      </c>
      <c r="AC332" s="208">
        <f t="shared" si="223"/>
        <v>15</v>
      </c>
      <c r="AD332" s="328" t="s">
        <v>117</v>
      </c>
      <c r="AF332" s="270">
        <f t="shared" si="224"/>
        <v>30</v>
      </c>
      <c r="AG332" s="270" t="str">
        <f t="shared" si="225"/>
        <v>Débil</v>
      </c>
      <c r="AH332" s="349" t="s">
        <v>118</v>
      </c>
      <c r="AI332" s="350" t="str">
        <f t="shared" si="226"/>
        <v>Fuerte</v>
      </c>
      <c r="AJ332" s="211" t="str">
        <f>IFERROR(VLOOKUP((CONCATENATE(AG332,AI332)),[5]Listados!$U$3:$V$11,2,FALSE),"")</f>
        <v>Débil</v>
      </c>
      <c r="AK332" s="270">
        <f t="shared" si="227"/>
        <v>0</v>
      </c>
      <c r="AL332" s="348">
        <v>102</v>
      </c>
      <c r="AM332" s="385" t="str">
        <f>IF(AL332&lt;=50, "Débil", IF(AL332&lt;=99,"Moderado","Fuerte"))</f>
        <v>Fuerte</v>
      </c>
      <c r="AN332" s="348">
        <f>+IF(AND(Q332="Preventivo",AM331="Fuerte"),2,IF(AND(Q332="Preventivo",AM331="Moderado"),1,0))</f>
        <v>2</v>
      </c>
      <c r="AO332" s="348">
        <v>4</v>
      </c>
      <c r="AP332" s="351">
        <f>+K331-AN332</f>
        <v>-1</v>
      </c>
      <c r="AQ332" s="351">
        <f>+M331-AO332</f>
        <v>0</v>
      </c>
      <c r="AR332" s="390" t="str">
        <f>+VLOOKUP(MIN(AP323,AP324,AP325,AP326,AP327,AP328),Listados!$J$18:$K$24,2,TRUE)</f>
        <v>Improbable</v>
      </c>
      <c r="AS332" s="390" t="str">
        <f>+VLOOKUP(MIN(AQ323,AQ324,AQ325,AQ326,AQ327,AQ328),Listados!$J$27:$K$32,2,TRUE)</f>
        <v>Menor</v>
      </c>
      <c r="AT332" s="390" t="str">
        <f>IF(AND(AR332&lt;&gt;"",AS332&lt;&gt;""),VLOOKUP(AR332&amp;AS332,[5]Listados!$M$3:$N$27,2,FALSE),"")</f>
        <v>Bajo</v>
      </c>
      <c r="AU332" s="252" t="e">
        <f>+VLOOKUP(AT323,Listados!$P$3:$Q$6,2,FALSE)</f>
        <v>#N/A</v>
      </c>
      <c r="AV332" s="199" t="s">
        <v>1156</v>
      </c>
      <c r="AW332" s="198" t="s">
        <v>1157</v>
      </c>
      <c r="AX332" s="198" t="s">
        <v>1046</v>
      </c>
      <c r="AY332" s="198" t="s">
        <v>1046</v>
      </c>
      <c r="AZ332" s="199" t="s">
        <v>1158</v>
      </c>
      <c r="BA332" s="199" t="s">
        <v>1159</v>
      </c>
      <c r="BB332" s="201"/>
      <c r="BC332" s="200" t="s">
        <v>1731</v>
      </c>
      <c r="BD332" s="201"/>
      <c r="BE332" s="201"/>
      <c r="BF332" s="200" t="s">
        <v>1819</v>
      </c>
      <c r="BG332" s="201"/>
    </row>
  </sheetData>
  <sheetProtection selectLockedCells="1"/>
  <autoFilter ref="A6:AU332" xr:uid="{00000000-0009-0000-0000-000001000000}"/>
  <mergeCells count="1370">
    <mergeCell ref="BF328:BF329"/>
    <mergeCell ref="BG328:BG329"/>
    <mergeCell ref="BC79:BC84"/>
    <mergeCell ref="BC85:BC90"/>
    <mergeCell ref="BC19:BC24"/>
    <mergeCell ref="BC325:BC327"/>
    <mergeCell ref="BC319:BC324"/>
    <mergeCell ref="O236:O237"/>
    <mergeCell ref="BC236:BC237"/>
    <mergeCell ref="AV158:AV159"/>
    <mergeCell ref="AW158:AW159"/>
    <mergeCell ref="AX158:AX159"/>
    <mergeCell ref="AY158:AY159"/>
    <mergeCell ref="AZ158:AZ159"/>
    <mergeCell ref="BA158:BA159"/>
    <mergeCell ref="BC158:BC159"/>
    <mergeCell ref="BC315:BC318"/>
    <mergeCell ref="BE325:BE327"/>
    <mergeCell ref="AR325:AR327"/>
    <mergeCell ref="AS325:AS327"/>
    <mergeCell ref="AT325:AT327"/>
    <mergeCell ref="AU325:AU327"/>
    <mergeCell ref="BB325:BB327"/>
    <mergeCell ref="BB319:BB324"/>
    <mergeCell ref="BB27:BB28"/>
    <mergeCell ref="V325:V326"/>
    <mergeCell ref="X325:X326"/>
    <mergeCell ref="Z325:Z326"/>
    <mergeCell ref="AB325:AB326"/>
    <mergeCell ref="AD325:AD326"/>
    <mergeCell ref="BF97:BF102"/>
    <mergeCell ref="BF325:BF327"/>
    <mergeCell ref="A328:A329"/>
    <mergeCell ref="B328:B329"/>
    <mergeCell ref="C328:C329"/>
    <mergeCell ref="D328:D329"/>
    <mergeCell ref="J328:J329"/>
    <mergeCell ref="K328:K329"/>
    <mergeCell ref="L328:L329"/>
    <mergeCell ref="M328:M329"/>
    <mergeCell ref="N328:N329"/>
    <mergeCell ref="AL328:AL329"/>
    <mergeCell ref="AM328:AM329"/>
    <mergeCell ref="AR328:AR329"/>
    <mergeCell ref="AS328:AS329"/>
    <mergeCell ref="AT328:AT329"/>
    <mergeCell ref="AU328:AU329"/>
    <mergeCell ref="BD328:BD329"/>
    <mergeCell ref="BE328:BE329"/>
    <mergeCell ref="BC328:BC329"/>
    <mergeCell ref="AF325:AF326"/>
    <mergeCell ref="AG325:AG326"/>
    <mergeCell ref="AH325:AH326"/>
    <mergeCell ref="AI325:AI326"/>
    <mergeCell ref="AJ325:AJ326"/>
    <mergeCell ref="AK325:AK326"/>
    <mergeCell ref="AL325:AL326"/>
    <mergeCell ref="AM325:AM326"/>
    <mergeCell ref="AN325:AN326"/>
    <mergeCell ref="AO325:AO326"/>
    <mergeCell ref="AP325:AP326"/>
    <mergeCell ref="AQ325:AQ326"/>
    <mergeCell ref="AW278:AW279"/>
    <mergeCell ref="AX278:AX279"/>
    <mergeCell ref="AY278:AY279"/>
    <mergeCell ref="AV265:AV270"/>
    <mergeCell ref="AW265:AW270"/>
    <mergeCell ref="AX265:AX270"/>
    <mergeCell ref="AY265:AY270"/>
    <mergeCell ref="AY301:AY306"/>
    <mergeCell ref="AT277:AT282"/>
    <mergeCell ref="AU277:AU282"/>
    <mergeCell ref="AT289:AT294"/>
    <mergeCell ref="AU289:AU294"/>
    <mergeCell ref="AT301:AT306"/>
    <mergeCell ref="AU301:AU306"/>
    <mergeCell ref="AL313:AL318"/>
    <mergeCell ref="AM313:AM318"/>
    <mergeCell ref="AR313:AR318"/>
    <mergeCell ref="AS313:AS318"/>
    <mergeCell ref="AV253:AV258"/>
    <mergeCell ref="A325:A327"/>
    <mergeCell ref="B325:B327"/>
    <mergeCell ref="C325:C327"/>
    <mergeCell ref="D325:D327"/>
    <mergeCell ref="E325:E327"/>
    <mergeCell ref="F325:F327"/>
    <mergeCell ref="G325:G327"/>
    <mergeCell ref="H325:H327"/>
    <mergeCell ref="I325:I327"/>
    <mergeCell ref="J325:J327"/>
    <mergeCell ref="L325:L327"/>
    <mergeCell ref="N325:N327"/>
    <mergeCell ref="O325:O326"/>
    <mergeCell ref="P325:P326"/>
    <mergeCell ref="Q325:Q326"/>
    <mergeCell ref="R325:R326"/>
    <mergeCell ref="T325:T326"/>
    <mergeCell ref="AT253:AT258"/>
    <mergeCell ref="AU253:AU258"/>
    <mergeCell ref="A259:A264"/>
    <mergeCell ref="B259:B264"/>
    <mergeCell ref="C259:C264"/>
    <mergeCell ref="D259:D264"/>
    <mergeCell ref="AL253:AL258"/>
    <mergeCell ref="AM253:AM258"/>
    <mergeCell ref="AR253:AR258"/>
    <mergeCell ref="AS253:AS258"/>
    <mergeCell ref="J253:J258"/>
    <mergeCell ref="K253:K258"/>
    <mergeCell ref="L253:L258"/>
    <mergeCell ref="M253:M258"/>
    <mergeCell ref="BE313:BE318"/>
    <mergeCell ref="BF313:BF318"/>
    <mergeCell ref="BG313:BG318"/>
    <mergeCell ref="AV320:AV324"/>
    <mergeCell ref="AW320:AW324"/>
    <mergeCell ref="AX320:AX324"/>
    <mergeCell ref="AY320:AY324"/>
    <mergeCell ref="AZ320:AZ324"/>
    <mergeCell ref="BA320:BA324"/>
    <mergeCell ref="BD320:BD324"/>
    <mergeCell ref="BE319:BE324"/>
    <mergeCell ref="BF319:BF324"/>
    <mergeCell ref="BG319:BG324"/>
    <mergeCell ref="BD314:BD318"/>
    <mergeCell ref="BE301:BE306"/>
    <mergeCell ref="BF301:BF306"/>
    <mergeCell ref="BG301:BG306"/>
    <mergeCell ref="AV307:AV312"/>
    <mergeCell ref="AW307:AW312"/>
    <mergeCell ref="AX307:AX312"/>
    <mergeCell ref="AY307:AY312"/>
    <mergeCell ref="AZ307:AZ312"/>
    <mergeCell ref="BA307:BA312"/>
    <mergeCell ref="BB307:BB312"/>
    <mergeCell ref="BC307:BC312"/>
    <mergeCell ref="BD307:BD312"/>
    <mergeCell ref="BE307:BE312"/>
    <mergeCell ref="BF307:BF312"/>
    <mergeCell ref="BG307:BG312"/>
    <mergeCell ref="AV301:AV306"/>
    <mergeCell ref="AW301:AW306"/>
    <mergeCell ref="AX301:AX306"/>
    <mergeCell ref="AZ301:AZ306"/>
    <mergeCell ref="BA301:BA306"/>
    <mergeCell ref="BB301:BB306"/>
    <mergeCell ref="BC301:BC306"/>
    <mergeCell ref="BD301:BD306"/>
    <mergeCell ref="BE295:BE300"/>
    <mergeCell ref="BF295:BF300"/>
    <mergeCell ref="BG295:BG300"/>
    <mergeCell ref="AV296:AV300"/>
    <mergeCell ref="AW296:AW300"/>
    <mergeCell ref="AX296:AX300"/>
    <mergeCell ref="AY296:AY300"/>
    <mergeCell ref="AZ296:AZ300"/>
    <mergeCell ref="BA296:BA300"/>
    <mergeCell ref="BB296:BB300"/>
    <mergeCell ref="BC296:BC300"/>
    <mergeCell ref="BE283:BE288"/>
    <mergeCell ref="BF283:BF288"/>
    <mergeCell ref="BG283:BG288"/>
    <mergeCell ref="AV289:AV294"/>
    <mergeCell ref="AW289:AW294"/>
    <mergeCell ref="AX289:AX294"/>
    <mergeCell ref="AY289:AY294"/>
    <mergeCell ref="AZ289:AZ294"/>
    <mergeCell ref="BA289:BA294"/>
    <mergeCell ref="BB289:BB294"/>
    <mergeCell ref="BC289:BC294"/>
    <mergeCell ref="BD289:BD294"/>
    <mergeCell ref="BE289:BE294"/>
    <mergeCell ref="BF289:BF294"/>
    <mergeCell ref="BG289:BG294"/>
    <mergeCell ref="BB283:BB288"/>
    <mergeCell ref="BC283:BC288"/>
    <mergeCell ref="BD283:BD288"/>
    <mergeCell ref="BE271:BE276"/>
    <mergeCell ref="BF271:BF276"/>
    <mergeCell ref="BG271:BG276"/>
    <mergeCell ref="BB277:BB282"/>
    <mergeCell ref="BC277:BC282"/>
    <mergeCell ref="BD277:BD282"/>
    <mergeCell ref="BE277:BE282"/>
    <mergeCell ref="BF277:BF282"/>
    <mergeCell ref="BG277:BG282"/>
    <mergeCell ref="BB271:BB276"/>
    <mergeCell ref="BC271:BC276"/>
    <mergeCell ref="BD271:BD276"/>
    <mergeCell ref="AZ272:AZ273"/>
    <mergeCell ref="BA272:BA273"/>
    <mergeCell ref="BE253:BE258"/>
    <mergeCell ref="BF253:BF258"/>
    <mergeCell ref="BG253:BG258"/>
    <mergeCell ref="BE259:BE264"/>
    <mergeCell ref="BF259:BF264"/>
    <mergeCell ref="BG259:BG264"/>
    <mergeCell ref="AZ265:AZ270"/>
    <mergeCell ref="BA265:BA270"/>
    <mergeCell ref="BB265:BB270"/>
    <mergeCell ref="BC265:BC270"/>
    <mergeCell ref="BD265:BD270"/>
    <mergeCell ref="BF265:BF270"/>
    <mergeCell ref="BG265:BG270"/>
    <mergeCell ref="BA277:BA279"/>
    <mergeCell ref="BE267:BE270"/>
    <mergeCell ref="AW253:AW258"/>
    <mergeCell ref="AX253:AX258"/>
    <mergeCell ref="AY253:AY258"/>
    <mergeCell ref="AZ253:AZ258"/>
    <mergeCell ref="BA253:BA258"/>
    <mergeCell ref="BB253:BB258"/>
    <mergeCell ref="BC253:BC258"/>
    <mergeCell ref="BD253:BD258"/>
    <mergeCell ref="BE241:BE246"/>
    <mergeCell ref="BF241:BF246"/>
    <mergeCell ref="BG241:BG246"/>
    <mergeCell ref="AV247:AV252"/>
    <mergeCell ref="AW247:AW252"/>
    <mergeCell ref="AX247:AX252"/>
    <mergeCell ref="AY247:AY252"/>
    <mergeCell ref="AZ247:AZ252"/>
    <mergeCell ref="BA247:BA252"/>
    <mergeCell ref="BB247:BB252"/>
    <mergeCell ref="BC247:BC252"/>
    <mergeCell ref="BD247:BD252"/>
    <mergeCell ref="BE247:BE252"/>
    <mergeCell ref="BF247:BF252"/>
    <mergeCell ref="BG247:BG252"/>
    <mergeCell ref="AV241:AV246"/>
    <mergeCell ref="AW241:AW246"/>
    <mergeCell ref="AX241:AX246"/>
    <mergeCell ref="AY241:AY246"/>
    <mergeCell ref="AZ241:AZ246"/>
    <mergeCell ref="BA241:BA246"/>
    <mergeCell ref="BB241:BB246"/>
    <mergeCell ref="BC241:BC246"/>
    <mergeCell ref="BD241:BD246"/>
    <mergeCell ref="BE223:BE228"/>
    <mergeCell ref="BF223:BF228"/>
    <mergeCell ref="BG223:BG228"/>
    <mergeCell ref="BE229:BE234"/>
    <mergeCell ref="BF229:BF234"/>
    <mergeCell ref="BG229:BG234"/>
    <mergeCell ref="BE235:BE240"/>
    <mergeCell ref="BF235:BF240"/>
    <mergeCell ref="BG235:BG240"/>
    <mergeCell ref="AV223:AV228"/>
    <mergeCell ref="AW223:AW228"/>
    <mergeCell ref="AX223:AX228"/>
    <mergeCell ref="AY223:AY228"/>
    <mergeCell ref="AZ223:AZ228"/>
    <mergeCell ref="BA223:BA228"/>
    <mergeCell ref="BB223:BB228"/>
    <mergeCell ref="BC223:BC228"/>
    <mergeCell ref="BD223:BD228"/>
    <mergeCell ref="BB229:BB230"/>
    <mergeCell ref="BE211:BE216"/>
    <mergeCell ref="BF211:BF216"/>
    <mergeCell ref="BG211:BG216"/>
    <mergeCell ref="AV217:AV222"/>
    <mergeCell ref="AW217:AW222"/>
    <mergeCell ref="AX217:AX222"/>
    <mergeCell ref="AY217:AY222"/>
    <mergeCell ref="AZ217:AZ222"/>
    <mergeCell ref="BA217:BA222"/>
    <mergeCell ref="BB217:BB222"/>
    <mergeCell ref="BC217:BC222"/>
    <mergeCell ref="BD217:BD222"/>
    <mergeCell ref="BE217:BE222"/>
    <mergeCell ref="BF217:BF222"/>
    <mergeCell ref="BG217:BG222"/>
    <mergeCell ref="AV211:AV216"/>
    <mergeCell ref="AW211:AW216"/>
    <mergeCell ref="AX211:AX216"/>
    <mergeCell ref="AY211:AY216"/>
    <mergeCell ref="AZ211:AZ216"/>
    <mergeCell ref="BA211:BA216"/>
    <mergeCell ref="BB211:BB216"/>
    <mergeCell ref="BC211:BC216"/>
    <mergeCell ref="BD211:BD216"/>
    <mergeCell ref="BE199:BE204"/>
    <mergeCell ref="BF199:BF204"/>
    <mergeCell ref="BG199:BG204"/>
    <mergeCell ref="AV205:AV210"/>
    <mergeCell ref="AW205:AW210"/>
    <mergeCell ref="AX205:AX210"/>
    <mergeCell ref="AY205:AY210"/>
    <mergeCell ref="AZ205:AZ210"/>
    <mergeCell ref="BA205:BA210"/>
    <mergeCell ref="BB205:BB210"/>
    <mergeCell ref="BC205:BC210"/>
    <mergeCell ref="BD205:BD210"/>
    <mergeCell ref="BE205:BE210"/>
    <mergeCell ref="BF205:BF210"/>
    <mergeCell ref="BG205:BG210"/>
    <mergeCell ref="AV199:AV204"/>
    <mergeCell ref="AW199:AW204"/>
    <mergeCell ref="AX199:AX204"/>
    <mergeCell ref="AY199:AY204"/>
    <mergeCell ref="AZ199:AZ204"/>
    <mergeCell ref="BA199:BA204"/>
    <mergeCell ref="BB199:BB204"/>
    <mergeCell ref="BC199:BC204"/>
    <mergeCell ref="BD199:BD204"/>
    <mergeCell ref="BE187:BE192"/>
    <mergeCell ref="BF187:BF192"/>
    <mergeCell ref="BG187:BG192"/>
    <mergeCell ref="AV193:AV198"/>
    <mergeCell ref="AW193:AW198"/>
    <mergeCell ref="AX193:AX198"/>
    <mergeCell ref="AY193:AY198"/>
    <mergeCell ref="AZ193:AZ198"/>
    <mergeCell ref="BA193:BA198"/>
    <mergeCell ref="BB193:BB198"/>
    <mergeCell ref="BC193:BC198"/>
    <mergeCell ref="BD193:BD198"/>
    <mergeCell ref="BE193:BE198"/>
    <mergeCell ref="BF193:BF198"/>
    <mergeCell ref="BG193:BG198"/>
    <mergeCell ref="AV187:AV192"/>
    <mergeCell ref="AW187:AW192"/>
    <mergeCell ref="AX187:AX192"/>
    <mergeCell ref="AY187:AY192"/>
    <mergeCell ref="AZ187:AZ192"/>
    <mergeCell ref="BA187:BA192"/>
    <mergeCell ref="BB187:BB192"/>
    <mergeCell ref="BC187:BC192"/>
    <mergeCell ref="BD187:BD192"/>
    <mergeCell ref="BE175:BE180"/>
    <mergeCell ref="BF175:BF180"/>
    <mergeCell ref="BG175:BG180"/>
    <mergeCell ref="AV181:AV186"/>
    <mergeCell ref="AW181:AW186"/>
    <mergeCell ref="AX181:AX186"/>
    <mergeCell ref="AY181:AY186"/>
    <mergeCell ref="AZ181:AZ186"/>
    <mergeCell ref="BA181:BA186"/>
    <mergeCell ref="BB181:BB186"/>
    <mergeCell ref="BC181:BC186"/>
    <mergeCell ref="BD181:BD186"/>
    <mergeCell ref="BE181:BE186"/>
    <mergeCell ref="BF181:BF186"/>
    <mergeCell ref="BG181:BG186"/>
    <mergeCell ref="BE157:BE162"/>
    <mergeCell ref="BF157:BF162"/>
    <mergeCell ref="BG157:BG162"/>
    <mergeCell ref="BE163:BE168"/>
    <mergeCell ref="BF163:BF168"/>
    <mergeCell ref="BG163:BG168"/>
    <mergeCell ref="BE169:BE174"/>
    <mergeCell ref="BF169:BF174"/>
    <mergeCell ref="BG169:BG174"/>
    <mergeCell ref="BB163:BB164"/>
    <mergeCell ref="BC170:BC174"/>
    <mergeCell ref="BE145:BE150"/>
    <mergeCell ref="BF145:BF150"/>
    <mergeCell ref="BG145:BG150"/>
    <mergeCell ref="AV151:AV156"/>
    <mergeCell ref="AW151:AW156"/>
    <mergeCell ref="AX151:AX156"/>
    <mergeCell ref="AY151:AY156"/>
    <mergeCell ref="AZ151:AZ156"/>
    <mergeCell ref="BA151:BA156"/>
    <mergeCell ref="BB151:BB156"/>
    <mergeCell ref="BC151:BC156"/>
    <mergeCell ref="BD151:BD156"/>
    <mergeCell ref="BE151:BE156"/>
    <mergeCell ref="BF151:BF156"/>
    <mergeCell ref="BG151:BG156"/>
    <mergeCell ref="AV145:AV150"/>
    <mergeCell ref="AW145:AW150"/>
    <mergeCell ref="AX145:AX150"/>
    <mergeCell ref="AY145:AY150"/>
    <mergeCell ref="AZ145:AZ150"/>
    <mergeCell ref="BA145:BA150"/>
    <mergeCell ref="BB145:BB150"/>
    <mergeCell ref="BC145:BC150"/>
    <mergeCell ref="BD145:BD150"/>
    <mergeCell ref="BE133:BE138"/>
    <mergeCell ref="BF133:BF138"/>
    <mergeCell ref="BG133:BG138"/>
    <mergeCell ref="AV139:AV144"/>
    <mergeCell ref="AW139:AW144"/>
    <mergeCell ref="AX139:AX144"/>
    <mergeCell ref="AY139:AY144"/>
    <mergeCell ref="AZ139:AZ144"/>
    <mergeCell ref="BA139:BA144"/>
    <mergeCell ref="BB139:BB144"/>
    <mergeCell ref="BC139:BC144"/>
    <mergeCell ref="BD139:BD144"/>
    <mergeCell ref="BE139:BE144"/>
    <mergeCell ref="BF139:BF144"/>
    <mergeCell ref="BG139:BG144"/>
    <mergeCell ref="AV133:AV138"/>
    <mergeCell ref="AW133:AW138"/>
    <mergeCell ref="AX133:AX138"/>
    <mergeCell ref="AY133:AY138"/>
    <mergeCell ref="AZ133:AZ138"/>
    <mergeCell ref="BA133:BA138"/>
    <mergeCell ref="BB133:BB138"/>
    <mergeCell ref="BC133:BC138"/>
    <mergeCell ref="BD133:BD138"/>
    <mergeCell ref="BE121:BE126"/>
    <mergeCell ref="BF121:BF126"/>
    <mergeCell ref="BG121:BG126"/>
    <mergeCell ref="AV127:AV132"/>
    <mergeCell ref="AW127:AW132"/>
    <mergeCell ref="AX127:AX132"/>
    <mergeCell ref="AY127:AY132"/>
    <mergeCell ref="AZ127:AZ132"/>
    <mergeCell ref="BA127:BA132"/>
    <mergeCell ref="BB127:BB132"/>
    <mergeCell ref="BC127:BC132"/>
    <mergeCell ref="BD127:BD132"/>
    <mergeCell ref="BE127:BE132"/>
    <mergeCell ref="BF127:BF132"/>
    <mergeCell ref="BG127:BG132"/>
    <mergeCell ref="AV121:AV126"/>
    <mergeCell ref="AW121:AW126"/>
    <mergeCell ref="AX121:AX126"/>
    <mergeCell ref="AY121:AY126"/>
    <mergeCell ref="AZ121:AZ126"/>
    <mergeCell ref="BA121:BA126"/>
    <mergeCell ref="BB121:BB126"/>
    <mergeCell ref="BC121:BC126"/>
    <mergeCell ref="BD121:BD126"/>
    <mergeCell ref="BE109:BE114"/>
    <mergeCell ref="BF109:BF114"/>
    <mergeCell ref="BG109:BG114"/>
    <mergeCell ref="AV115:AV120"/>
    <mergeCell ref="AW115:AW120"/>
    <mergeCell ref="AX115:AX120"/>
    <mergeCell ref="AY115:AY120"/>
    <mergeCell ref="AZ115:AZ120"/>
    <mergeCell ref="BA115:BA120"/>
    <mergeCell ref="BB115:BB120"/>
    <mergeCell ref="BC115:BC120"/>
    <mergeCell ref="BD115:BD120"/>
    <mergeCell ref="BE115:BE120"/>
    <mergeCell ref="BF115:BF120"/>
    <mergeCell ref="BG115:BG120"/>
    <mergeCell ref="BB109:BB114"/>
    <mergeCell ref="BC109:BC114"/>
    <mergeCell ref="BD109:BD114"/>
    <mergeCell ref="BE91:BE96"/>
    <mergeCell ref="BF91:BF96"/>
    <mergeCell ref="BG91:BG96"/>
    <mergeCell ref="BE103:BE108"/>
    <mergeCell ref="BF103:BF108"/>
    <mergeCell ref="BG103:BG108"/>
    <mergeCell ref="AV91:AV96"/>
    <mergeCell ref="AW91:AW96"/>
    <mergeCell ref="AX91:AX96"/>
    <mergeCell ref="AY91:AY96"/>
    <mergeCell ref="AZ91:AZ96"/>
    <mergeCell ref="BA91:BA96"/>
    <mergeCell ref="BB91:BB96"/>
    <mergeCell ref="BC91:BC96"/>
    <mergeCell ref="BD91:BD96"/>
    <mergeCell ref="BD103:BD108"/>
    <mergeCell ref="BB79:BB84"/>
    <mergeCell ref="BB85:BB90"/>
    <mergeCell ref="BE97:BE102"/>
    <mergeCell ref="AV73:AV78"/>
    <mergeCell ref="AW73:AW78"/>
    <mergeCell ref="AX73:AX78"/>
    <mergeCell ref="AY73:AY78"/>
    <mergeCell ref="AZ73:AZ78"/>
    <mergeCell ref="BA73:BA78"/>
    <mergeCell ref="BB73:BB78"/>
    <mergeCell ref="BC73:BC78"/>
    <mergeCell ref="BD73:BD78"/>
    <mergeCell ref="BE73:BE78"/>
    <mergeCell ref="BF73:BF78"/>
    <mergeCell ref="BG73:BG78"/>
    <mergeCell ref="BF79:BF84"/>
    <mergeCell ref="BG79:BG84"/>
    <mergeCell ref="AV86:AV90"/>
    <mergeCell ref="AW86:AW90"/>
    <mergeCell ref="AX86:AX90"/>
    <mergeCell ref="AY86:AY90"/>
    <mergeCell ref="AZ86:AZ90"/>
    <mergeCell ref="BA86:BA90"/>
    <mergeCell ref="BE85:BE90"/>
    <mergeCell ref="BF85:BF90"/>
    <mergeCell ref="BG85:BG90"/>
    <mergeCell ref="AV80:AV84"/>
    <mergeCell ref="AW80:AW84"/>
    <mergeCell ref="AX80:AX84"/>
    <mergeCell ref="AY80:AY84"/>
    <mergeCell ref="AZ80:AZ84"/>
    <mergeCell ref="BA80:BA84"/>
    <mergeCell ref="BE79:BE84"/>
    <mergeCell ref="BE61:BE66"/>
    <mergeCell ref="BF61:BF66"/>
    <mergeCell ref="BG61:BG66"/>
    <mergeCell ref="AV67:AV72"/>
    <mergeCell ref="AW67:AW72"/>
    <mergeCell ref="AX67:AX72"/>
    <mergeCell ref="AY67:AY72"/>
    <mergeCell ref="AZ67:AZ72"/>
    <mergeCell ref="BA67:BA72"/>
    <mergeCell ref="BB67:BB72"/>
    <mergeCell ref="BC67:BC72"/>
    <mergeCell ref="BD67:BD72"/>
    <mergeCell ref="BE67:BE72"/>
    <mergeCell ref="BF67:BF72"/>
    <mergeCell ref="BG67:BG72"/>
    <mergeCell ref="AV61:AV66"/>
    <mergeCell ref="AW61:AW66"/>
    <mergeCell ref="AX61:AX66"/>
    <mergeCell ref="AY61:AY66"/>
    <mergeCell ref="AZ61:AZ66"/>
    <mergeCell ref="BA61:BA66"/>
    <mergeCell ref="BB61:BB66"/>
    <mergeCell ref="BC61:BC66"/>
    <mergeCell ref="BD61:BD66"/>
    <mergeCell ref="BE43:BE48"/>
    <mergeCell ref="BF43:BF48"/>
    <mergeCell ref="BG43:BG48"/>
    <mergeCell ref="BE49:BE54"/>
    <mergeCell ref="BF49:BF54"/>
    <mergeCell ref="BG49:BG54"/>
    <mergeCell ref="BE55:BE60"/>
    <mergeCell ref="BF55:BF60"/>
    <mergeCell ref="BG55:BG60"/>
    <mergeCell ref="BE25:BE30"/>
    <mergeCell ref="BF25:BF30"/>
    <mergeCell ref="BG25:BG30"/>
    <mergeCell ref="BE31:BE36"/>
    <mergeCell ref="BF31:BF36"/>
    <mergeCell ref="BG31:BG36"/>
    <mergeCell ref="BE37:BE42"/>
    <mergeCell ref="BF37:BF42"/>
    <mergeCell ref="BG37:BG42"/>
    <mergeCell ref="BB13:BB18"/>
    <mergeCell ref="BC13:BC18"/>
    <mergeCell ref="BE13:BE18"/>
    <mergeCell ref="BF13:BF18"/>
    <mergeCell ref="BG13:BG18"/>
    <mergeCell ref="AV20:AV24"/>
    <mergeCell ref="AW20:AW24"/>
    <mergeCell ref="AX20:AX24"/>
    <mergeCell ref="AY20:AY24"/>
    <mergeCell ref="AZ20:AZ24"/>
    <mergeCell ref="BA20:BA24"/>
    <mergeCell ref="BB20:BB24"/>
    <mergeCell ref="BE19:BE24"/>
    <mergeCell ref="BF19:BF24"/>
    <mergeCell ref="BG19:BG24"/>
    <mergeCell ref="BE4:BG5"/>
    <mergeCell ref="AV4:BA5"/>
    <mergeCell ref="BB4:BD5"/>
    <mergeCell ref="BE7:BE12"/>
    <mergeCell ref="BF7:BF12"/>
    <mergeCell ref="BG7:BG12"/>
    <mergeCell ref="AZ7:AZ12"/>
    <mergeCell ref="BA7:BA12"/>
    <mergeCell ref="BB7:BB12"/>
    <mergeCell ref="BC7:BC12"/>
    <mergeCell ref="BD7:BD12"/>
    <mergeCell ref="BD13:BD18"/>
    <mergeCell ref="BD19:BD24"/>
    <mergeCell ref="AU4:AU5"/>
    <mergeCell ref="J5:N5"/>
    <mergeCell ref="O5:Q5"/>
    <mergeCell ref="R5:AG5"/>
    <mergeCell ref="AH5:AI5"/>
    <mergeCell ref="AJ5:AK5"/>
    <mergeCell ref="G1:AU2"/>
    <mergeCell ref="G3:H3"/>
    <mergeCell ref="J3:AU3"/>
    <mergeCell ref="AL5:AM5"/>
    <mergeCell ref="AR5:AT5"/>
    <mergeCell ref="A7:A12"/>
    <mergeCell ref="B7:B12"/>
    <mergeCell ref="C7:C12"/>
    <mergeCell ref="D7:D12"/>
    <mergeCell ref="A4:I5"/>
    <mergeCell ref="J4:N4"/>
    <mergeCell ref="O4:AT4"/>
    <mergeCell ref="A1:F3"/>
    <mergeCell ref="K25:K30"/>
    <mergeCell ref="L25:L30"/>
    <mergeCell ref="M25:M30"/>
    <mergeCell ref="N25:N30"/>
    <mergeCell ref="A13:A18"/>
    <mergeCell ref="B13:B18"/>
    <mergeCell ref="C13:C18"/>
    <mergeCell ref="D13:D18"/>
    <mergeCell ref="AR7:AR12"/>
    <mergeCell ref="AS7:AS12"/>
    <mergeCell ref="AT7:AT12"/>
    <mergeCell ref="AU7:AU12"/>
    <mergeCell ref="K7:K12"/>
    <mergeCell ref="L7:L12"/>
    <mergeCell ref="M7:M12"/>
    <mergeCell ref="N7:N12"/>
    <mergeCell ref="AL7:AL12"/>
    <mergeCell ref="AM7:AM12"/>
    <mergeCell ref="J7:J12"/>
    <mergeCell ref="AR13:AR18"/>
    <mergeCell ref="AS13:AS18"/>
    <mergeCell ref="AT13:AT18"/>
    <mergeCell ref="AU13:AU18"/>
    <mergeCell ref="M13:M18"/>
    <mergeCell ref="N13:N18"/>
    <mergeCell ref="AL13:AL18"/>
    <mergeCell ref="AM13:AM18"/>
    <mergeCell ref="J13:J18"/>
    <mergeCell ref="K13:K18"/>
    <mergeCell ref="L13:L18"/>
    <mergeCell ref="F13:F18"/>
    <mergeCell ref="AS37:AS42"/>
    <mergeCell ref="J37:J42"/>
    <mergeCell ref="K37:K42"/>
    <mergeCell ref="L37:L42"/>
    <mergeCell ref="M37:M42"/>
    <mergeCell ref="N37:N42"/>
    <mergeCell ref="AT19:AT24"/>
    <mergeCell ref="AU19:AU24"/>
    <mergeCell ref="A25:A30"/>
    <mergeCell ref="B25:B30"/>
    <mergeCell ref="C25:C30"/>
    <mergeCell ref="D25:D30"/>
    <mergeCell ref="AL19:AL24"/>
    <mergeCell ref="AM19:AM24"/>
    <mergeCell ref="AR19:AR24"/>
    <mergeCell ref="AS19:AS24"/>
    <mergeCell ref="J19:J24"/>
    <mergeCell ref="K19:K24"/>
    <mergeCell ref="L19:L24"/>
    <mergeCell ref="M19:M24"/>
    <mergeCell ref="N19:N24"/>
    <mergeCell ref="A19:A24"/>
    <mergeCell ref="B19:B24"/>
    <mergeCell ref="C19:C24"/>
    <mergeCell ref="D19:D24"/>
    <mergeCell ref="AT25:AT30"/>
    <mergeCell ref="AU25:AU30"/>
    <mergeCell ref="AL25:AL30"/>
    <mergeCell ref="AM25:AM30"/>
    <mergeCell ref="AR25:AR30"/>
    <mergeCell ref="AS25:AS30"/>
    <mergeCell ref="J25:J30"/>
    <mergeCell ref="AS49:AS54"/>
    <mergeCell ref="J49:J54"/>
    <mergeCell ref="K49:K54"/>
    <mergeCell ref="L49:L54"/>
    <mergeCell ref="M49:M54"/>
    <mergeCell ref="N49:N54"/>
    <mergeCell ref="C43:C48"/>
    <mergeCell ref="D43:D48"/>
    <mergeCell ref="AT31:AT36"/>
    <mergeCell ref="AU31:AU36"/>
    <mergeCell ref="A37:A42"/>
    <mergeCell ref="B37:B42"/>
    <mergeCell ref="C37:C42"/>
    <mergeCell ref="D37:D42"/>
    <mergeCell ref="AL31:AL36"/>
    <mergeCell ref="AM31:AM36"/>
    <mergeCell ref="AR31:AR36"/>
    <mergeCell ref="AS31:AS36"/>
    <mergeCell ref="J31:J36"/>
    <mergeCell ref="K31:K36"/>
    <mergeCell ref="L31:L36"/>
    <mergeCell ref="M31:M36"/>
    <mergeCell ref="N31:N36"/>
    <mergeCell ref="AT37:AT42"/>
    <mergeCell ref="AU37:AU42"/>
    <mergeCell ref="A31:A36"/>
    <mergeCell ref="B31:B36"/>
    <mergeCell ref="C31:C36"/>
    <mergeCell ref="D31:D36"/>
    <mergeCell ref="AL37:AL42"/>
    <mergeCell ref="AM37:AM42"/>
    <mergeCell ref="AR37:AR42"/>
    <mergeCell ref="AL49:AL54"/>
    <mergeCell ref="AM49:AM54"/>
    <mergeCell ref="AR49:AR54"/>
    <mergeCell ref="AT55:AT60"/>
    <mergeCell ref="AU55:AU60"/>
    <mergeCell ref="AL55:AL60"/>
    <mergeCell ref="AM55:AM60"/>
    <mergeCell ref="AR55:AR60"/>
    <mergeCell ref="AS55:AS60"/>
    <mergeCell ref="AT43:AT48"/>
    <mergeCell ref="AU43:AU48"/>
    <mergeCell ref="A61:A66"/>
    <mergeCell ref="B61:B66"/>
    <mergeCell ref="C61:C66"/>
    <mergeCell ref="D61:D66"/>
    <mergeCell ref="A49:A54"/>
    <mergeCell ref="B49:B54"/>
    <mergeCell ref="C49:C54"/>
    <mergeCell ref="D49:D54"/>
    <mergeCell ref="AL43:AL48"/>
    <mergeCell ref="AM43:AM48"/>
    <mergeCell ref="AR43:AR48"/>
    <mergeCell ref="AS43:AS48"/>
    <mergeCell ref="J43:J48"/>
    <mergeCell ref="K43:K48"/>
    <mergeCell ref="L43:L48"/>
    <mergeCell ref="M43:M48"/>
    <mergeCell ref="N43:N48"/>
    <mergeCell ref="AT49:AT54"/>
    <mergeCell ref="AU49:AU54"/>
    <mergeCell ref="A43:A48"/>
    <mergeCell ref="B43:B48"/>
    <mergeCell ref="J67:J72"/>
    <mergeCell ref="K67:K72"/>
    <mergeCell ref="L67:L72"/>
    <mergeCell ref="M67:M72"/>
    <mergeCell ref="N67:N72"/>
    <mergeCell ref="A55:A60"/>
    <mergeCell ref="B55:B60"/>
    <mergeCell ref="C55:C60"/>
    <mergeCell ref="D55:D60"/>
    <mergeCell ref="A73:A78"/>
    <mergeCell ref="B73:B78"/>
    <mergeCell ref="C73:C78"/>
    <mergeCell ref="D73:D78"/>
    <mergeCell ref="J55:J60"/>
    <mergeCell ref="K55:K60"/>
    <mergeCell ref="L55:L60"/>
    <mergeCell ref="M55:M60"/>
    <mergeCell ref="N55:N60"/>
    <mergeCell ref="AT73:AT78"/>
    <mergeCell ref="AU73:AU78"/>
    <mergeCell ref="AL73:AL78"/>
    <mergeCell ref="AM73:AM78"/>
    <mergeCell ref="AR73:AR78"/>
    <mergeCell ref="AS73:AS78"/>
    <mergeCell ref="J73:J78"/>
    <mergeCell ref="K73:K78"/>
    <mergeCell ref="L73:L78"/>
    <mergeCell ref="M73:M78"/>
    <mergeCell ref="N73:N78"/>
    <mergeCell ref="AT61:AT66"/>
    <mergeCell ref="AU61:AU66"/>
    <mergeCell ref="A67:A72"/>
    <mergeCell ref="B67:B72"/>
    <mergeCell ref="C67:C72"/>
    <mergeCell ref="D67:D72"/>
    <mergeCell ref="AL61:AL66"/>
    <mergeCell ref="AM61:AM66"/>
    <mergeCell ref="AR61:AR66"/>
    <mergeCell ref="AS61:AS66"/>
    <mergeCell ref="J61:J66"/>
    <mergeCell ref="K61:K66"/>
    <mergeCell ref="L61:L66"/>
    <mergeCell ref="M61:M66"/>
    <mergeCell ref="N61:N66"/>
    <mergeCell ref="AT67:AT72"/>
    <mergeCell ref="AU67:AU72"/>
    <mergeCell ref="AL67:AL72"/>
    <mergeCell ref="AM67:AM72"/>
    <mergeCell ref="AR67:AR72"/>
    <mergeCell ref="AS67:AS72"/>
    <mergeCell ref="AT79:AT84"/>
    <mergeCell ref="AU79:AU84"/>
    <mergeCell ref="A85:A90"/>
    <mergeCell ref="B85:B90"/>
    <mergeCell ref="C85:C90"/>
    <mergeCell ref="D85:D90"/>
    <mergeCell ref="AL79:AL84"/>
    <mergeCell ref="AM79:AM84"/>
    <mergeCell ref="AR79:AR84"/>
    <mergeCell ref="AS79:AS84"/>
    <mergeCell ref="J79:J84"/>
    <mergeCell ref="K79:K84"/>
    <mergeCell ref="L79:L84"/>
    <mergeCell ref="M79:M84"/>
    <mergeCell ref="N79:N84"/>
    <mergeCell ref="AT85:AT90"/>
    <mergeCell ref="AU85:AU90"/>
    <mergeCell ref="A79:A84"/>
    <mergeCell ref="B79:B84"/>
    <mergeCell ref="C79:C84"/>
    <mergeCell ref="D79:D84"/>
    <mergeCell ref="AL85:AL90"/>
    <mergeCell ref="AM85:AM90"/>
    <mergeCell ref="AR85:AR90"/>
    <mergeCell ref="AS85:AS90"/>
    <mergeCell ref="J85:J90"/>
    <mergeCell ref="K85:K90"/>
    <mergeCell ref="L85:L90"/>
    <mergeCell ref="M85:M90"/>
    <mergeCell ref="N85:N90"/>
    <mergeCell ref="AT91:AT96"/>
    <mergeCell ref="AU91:AU96"/>
    <mergeCell ref="A97:A102"/>
    <mergeCell ref="B97:B102"/>
    <mergeCell ref="C97:C102"/>
    <mergeCell ref="D97:D102"/>
    <mergeCell ref="AL91:AL96"/>
    <mergeCell ref="AM91:AM96"/>
    <mergeCell ref="AR91:AR96"/>
    <mergeCell ref="AS91:AS96"/>
    <mergeCell ref="J91:J96"/>
    <mergeCell ref="K91:K96"/>
    <mergeCell ref="L91:L96"/>
    <mergeCell ref="M91:M96"/>
    <mergeCell ref="N91:N96"/>
    <mergeCell ref="AT97:AT102"/>
    <mergeCell ref="AU97:AU102"/>
    <mergeCell ref="A91:A96"/>
    <mergeCell ref="B91:B96"/>
    <mergeCell ref="C91:C96"/>
    <mergeCell ref="D91:D96"/>
    <mergeCell ref="AL97:AL102"/>
    <mergeCell ref="AM97:AM102"/>
    <mergeCell ref="AR97:AR102"/>
    <mergeCell ref="AS97:AS102"/>
    <mergeCell ref="J97:J102"/>
    <mergeCell ref="K97:K102"/>
    <mergeCell ref="L97:L102"/>
    <mergeCell ref="M97:M102"/>
    <mergeCell ref="N97:N102"/>
    <mergeCell ref="AT103:AT108"/>
    <mergeCell ref="AU103:AU108"/>
    <mergeCell ref="A109:A114"/>
    <mergeCell ref="B109:B114"/>
    <mergeCell ref="C109:C114"/>
    <mergeCell ref="D109:D114"/>
    <mergeCell ref="AL103:AL108"/>
    <mergeCell ref="AM103:AM108"/>
    <mergeCell ref="AR103:AR108"/>
    <mergeCell ref="AS103:AS108"/>
    <mergeCell ref="J103:J108"/>
    <mergeCell ref="K103:K108"/>
    <mergeCell ref="L103:L108"/>
    <mergeCell ref="M103:M108"/>
    <mergeCell ref="N103:N108"/>
    <mergeCell ref="AT109:AT114"/>
    <mergeCell ref="AU109:AU114"/>
    <mergeCell ref="A103:A108"/>
    <mergeCell ref="B103:B108"/>
    <mergeCell ref="C103:C108"/>
    <mergeCell ref="D103:D108"/>
    <mergeCell ref="AL109:AL114"/>
    <mergeCell ref="AM109:AM114"/>
    <mergeCell ref="AR109:AR114"/>
    <mergeCell ref="AS109:AS114"/>
    <mergeCell ref="J109:J114"/>
    <mergeCell ref="K109:K114"/>
    <mergeCell ref="L109:L114"/>
    <mergeCell ref="M109:M114"/>
    <mergeCell ref="N109:N114"/>
    <mergeCell ref="AT115:AT120"/>
    <mergeCell ref="AU115:AU120"/>
    <mergeCell ref="A121:A126"/>
    <mergeCell ref="B121:B126"/>
    <mergeCell ref="C121:C126"/>
    <mergeCell ref="D121:D126"/>
    <mergeCell ref="AL115:AL120"/>
    <mergeCell ref="AM115:AM120"/>
    <mergeCell ref="AR115:AR120"/>
    <mergeCell ref="AS115:AS120"/>
    <mergeCell ref="J115:J120"/>
    <mergeCell ref="K115:K120"/>
    <mergeCell ref="L115:L120"/>
    <mergeCell ref="M115:M120"/>
    <mergeCell ref="N115:N120"/>
    <mergeCell ref="AT121:AT126"/>
    <mergeCell ref="AU121:AU126"/>
    <mergeCell ref="A115:A120"/>
    <mergeCell ref="B115:B120"/>
    <mergeCell ref="C115:C120"/>
    <mergeCell ref="D115:D120"/>
    <mergeCell ref="AL121:AL126"/>
    <mergeCell ref="AM121:AM126"/>
    <mergeCell ref="AR121:AR126"/>
    <mergeCell ref="AS121:AS126"/>
    <mergeCell ref="J121:J126"/>
    <mergeCell ref="K121:K126"/>
    <mergeCell ref="L121:L126"/>
    <mergeCell ref="M121:M126"/>
    <mergeCell ref="N121:N126"/>
    <mergeCell ref="AT127:AT132"/>
    <mergeCell ref="AU127:AU132"/>
    <mergeCell ref="A133:A138"/>
    <mergeCell ref="B133:B138"/>
    <mergeCell ref="C133:C138"/>
    <mergeCell ref="D133:D138"/>
    <mergeCell ref="AL127:AL132"/>
    <mergeCell ref="AM127:AM132"/>
    <mergeCell ref="AR127:AR132"/>
    <mergeCell ref="AS127:AS132"/>
    <mergeCell ref="J127:J132"/>
    <mergeCell ref="K127:K132"/>
    <mergeCell ref="L127:L132"/>
    <mergeCell ref="M127:M132"/>
    <mergeCell ref="N127:N132"/>
    <mergeCell ref="AT133:AT138"/>
    <mergeCell ref="AU133:AU138"/>
    <mergeCell ref="A127:A132"/>
    <mergeCell ref="B127:B132"/>
    <mergeCell ref="C127:C132"/>
    <mergeCell ref="D127:D132"/>
    <mergeCell ref="AL133:AL138"/>
    <mergeCell ref="AM133:AM138"/>
    <mergeCell ref="AR133:AR138"/>
    <mergeCell ref="AS133:AS138"/>
    <mergeCell ref="J133:J138"/>
    <mergeCell ref="K133:K138"/>
    <mergeCell ref="L133:L138"/>
    <mergeCell ref="M133:M138"/>
    <mergeCell ref="N133:N138"/>
    <mergeCell ref="AT139:AT144"/>
    <mergeCell ref="AU139:AU144"/>
    <mergeCell ref="A145:A150"/>
    <mergeCell ref="B145:B150"/>
    <mergeCell ref="C145:C150"/>
    <mergeCell ref="D145:D150"/>
    <mergeCell ref="AL139:AL144"/>
    <mergeCell ref="AM139:AM144"/>
    <mergeCell ref="AR139:AR144"/>
    <mergeCell ref="AS139:AS144"/>
    <mergeCell ref="J139:J144"/>
    <mergeCell ref="K139:K144"/>
    <mergeCell ref="L139:L144"/>
    <mergeCell ref="M139:M144"/>
    <mergeCell ref="N139:N144"/>
    <mergeCell ref="AT145:AT150"/>
    <mergeCell ref="AU145:AU150"/>
    <mergeCell ref="A139:A144"/>
    <mergeCell ref="B139:B144"/>
    <mergeCell ref="C139:C144"/>
    <mergeCell ref="D139:D144"/>
    <mergeCell ref="AL145:AL150"/>
    <mergeCell ref="AM145:AM150"/>
    <mergeCell ref="AR145:AR150"/>
    <mergeCell ref="AS145:AS150"/>
    <mergeCell ref="J145:J150"/>
    <mergeCell ref="K145:K150"/>
    <mergeCell ref="L145:L150"/>
    <mergeCell ref="M145:M150"/>
    <mergeCell ref="N145:N150"/>
    <mergeCell ref="AT151:AT156"/>
    <mergeCell ref="AU151:AU156"/>
    <mergeCell ref="A157:A162"/>
    <mergeCell ref="B157:B162"/>
    <mergeCell ref="C157:C162"/>
    <mergeCell ref="D157:D162"/>
    <mergeCell ref="AL151:AL156"/>
    <mergeCell ref="AM151:AM156"/>
    <mergeCell ref="AR151:AR156"/>
    <mergeCell ref="AS151:AS156"/>
    <mergeCell ref="J151:J156"/>
    <mergeCell ref="K151:K156"/>
    <mergeCell ref="L151:L156"/>
    <mergeCell ref="M151:M156"/>
    <mergeCell ref="N151:N156"/>
    <mergeCell ref="AT157:AT162"/>
    <mergeCell ref="AU157:AU162"/>
    <mergeCell ref="A151:A156"/>
    <mergeCell ref="B151:B156"/>
    <mergeCell ref="C151:C156"/>
    <mergeCell ref="D151:D156"/>
    <mergeCell ref="AL157:AL162"/>
    <mergeCell ref="AM157:AM162"/>
    <mergeCell ref="AR157:AR162"/>
    <mergeCell ref="AS157:AS162"/>
    <mergeCell ref="J157:J162"/>
    <mergeCell ref="K157:K162"/>
    <mergeCell ref="L157:L162"/>
    <mergeCell ref="M157:M162"/>
    <mergeCell ref="N157:N162"/>
    <mergeCell ref="AT163:AT168"/>
    <mergeCell ref="AU163:AU168"/>
    <mergeCell ref="A169:A174"/>
    <mergeCell ref="B169:B174"/>
    <mergeCell ref="C169:C174"/>
    <mergeCell ref="D169:D174"/>
    <mergeCell ref="AL163:AL168"/>
    <mergeCell ref="AM163:AM168"/>
    <mergeCell ref="AR163:AR168"/>
    <mergeCell ref="AS163:AS168"/>
    <mergeCell ref="J163:J168"/>
    <mergeCell ref="K163:K168"/>
    <mergeCell ref="L163:L168"/>
    <mergeCell ref="M163:M168"/>
    <mergeCell ref="N163:N168"/>
    <mergeCell ref="AT169:AT174"/>
    <mergeCell ref="AU169:AU174"/>
    <mergeCell ref="A163:A168"/>
    <mergeCell ref="B163:B168"/>
    <mergeCell ref="C163:C168"/>
    <mergeCell ref="D163:D168"/>
    <mergeCell ref="AL169:AL174"/>
    <mergeCell ref="AM169:AM174"/>
    <mergeCell ref="AR169:AR174"/>
    <mergeCell ref="AS169:AS174"/>
    <mergeCell ref="J169:J174"/>
    <mergeCell ref="K169:K174"/>
    <mergeCell ref="L169:L174"/>
    <mergeCell ref="M169:M174"/>
    <mergeCell ref="N169:N174"/>
    <mergeCell ref="AT175:AT180"/>
    <mergeCell ref="AU175:AU180"/>
    <mergeCell ref="A181:A186"/>
    <mergeCell ref="B181:B186"/>
    <mergeCell ref="C181:C186"/>
    <mergeCell ref="D181:D186"/>
    <mergeCell ref="AL175:AL180"/>
    <mergeCell ref="AM175:AM180"/>
    <mergeCell ref="AR175:AR180"/>
    <mergeCell ref="AS175:AS180"/>
    <mergeCell ref="J175:J180"/>
    <mergeCell ref="K175:K180"/>
    <mergeCell ref="L175:L180"/>
    <mergeCell ref="M175:M180"/>
    <mergeCell ref="N175:N180"/>
    <mergeCell ref="AT181:AT186"/>
    <mergeCell ref="AU181:AU186"/>
    <mergeCell ref="A175:A180"/>
    <mergeCell ref="B175:B180"/>
    <mergeCell ref="C175:C180"/>
    <mergeCell ref="D175:D180"/>
    <mergeCell ref="AL181:AL186"/>
    <mergeCell ref="AM181:AM186"/>
    <mergeCell ref="AR181:AR186"/>
    <mergeCell ref="AS181:AS186"/>
    <mergeCell ref="J181:J186"/>
    <mergeCell ref="K181:K186"/>
    <mergeCell ref="L181:L186"/>
    <mergeCell ref="M181:M186"/>
    <mergeCell ref="N181:N186"/>
    <mergeCell ref="AT187:AT192"/>
    <mergeCell ref="AU187:AU192"/>
    <mergeCell ref="A193:A198"/>
    <mergeCell ref="B193:B198"/>
    <mergeCell ref="C193:C198"/>
    <mergeCell ref="D193:D198"/>
    <mergeCell ref="AL187:AL192"/>
    <mergeCell ref="AM187:AM192"/>
    <mergeCell ref="AR187:AR192"/>
    <mergeCell ref="AS187:AS192"/>
    <mergeCell ref="J187:J192"/>
    <mergeCell ref="K187:K192"/>
    <mergeCell ref="L187:L192"/>
    <mergeCell ref="M187:M192"/>
    <mergeCell ref="N187:N192"/>
    <mergeCell ref="AT193:AT198"/>
    <mergeCell ref="AU193:AU198"/>
    <mergeCell ref="A187:A192"/>
    <mergeCell ref="B187:B192"/>
    <mergeCell ref="C187:C192"/>
    <mergeCell ref="D187:D192"/>
    <mergeCell ref="AL193:AL198"/>
    <mergeCell ref="AM193:AM198"/>
    <mergeCell ref="AR193:AR198"/>
    <mergeCell ref="AS193:AS198"/>
    <mergeCell ref="J193:J198"/>
    <mergeCell ref="K193:K198"/>
    <mergeCell ref="L193:L198"/>
    <mergeCell ref="M193:M198"/>
    <mergeCell ref="N193:N198"/>
    <mergeCell ref="AT199:AT204"/>
    <mergeCell ref="AU199:AU204"/>
    <mergeCell ref="A205:A210"/>
    <mergeCell ref="B205:B210"/>
    <mergeCell ref="C205:C210"/>
    <mergeCell ref="D205:D210"/>
    <mergeCell ref="AL199:AL204"/>
    <mergeCell ref="AM199:AM204"/>
    <mergeCell ref="AR199:AR204"/>
    <mergeCell ref="AS199:AS204"/>
    <mergeCell ref="J199:J204"/>
    <mergeCell ref="K199:K204"/>
    <mergeCell ref="L199:L204"/>
    <mergeCell ref="M199:M204"/>
    <mergeCell ref="N199:N204"/>
    <mergeCell ref="AT205:AT210"/>
    <mergeCell ref="AU205:AU210"/>
    <mergeCell ref="A199:A204"/>
    <mergeCell ref="B199:B204"/>
    <mergeCell ref="C199:C204"/>
    <mergeCell ref="D199:D204"/>
    <mergeCell ref="AL205:AL210"/>
    <mergeCell ref="AM205:AM210"/>
    <mergeCell ref="AR205:AR210"/>
    <mergeCell ref="AS205:AS210"/>
    <mergeCell ref="J205:J210"/>
    <mergeCell ref="K205:K210"/>
    <mergeCell ref="L205:L210"/>
    <mergeCell ref="M205:M210"/>
    <mergeCell ref="N205:N210"/>
    <mergeCell ref="AT211:AT216"/>
    <mergeCell ref="AU211:AU216"/>
    <mergeCell ref="A217:A222"/>
    <mergeCell ref="B217:B222"/>
    <mergeCell ref="C217:C222"/>
    <mergeCell ref="D217:D222"/>
    <mergeCell ref="AL211:AL216"/>
    <mergeCell ref="AM211:AM216"/>
    <mergeCell ref="AR211:AR216"/>
    <mergeCell ref="AS211:AS216"/>
    <mergeCell ref="J211:J216"/>
    <mergeCell ref="K211:K216"/>
    <mergeCell ref="L211:L216"/>
    <mergeCell ref="M211:M216"/>
    <mergeCell ref="N211:N216"/>
    <mergeCell ref="AT217:AT222"/>
    <mergeCell ref="AU217:AU222"/>
    <mergeCell ref="A211:A216"/>
    <mergeCell ref="B211:B216"/>
    <mergeCell ref="C211:C216"/>
    <mergeCell ref="D211:D216"/>
    <mergeCell ref="AL217:AL222"/>
    <mergeCell ref="AM217:AM222"/>
    <mergeCell ref="AR217:AR222"/>
    <mergeCell ref="AS217:AS222"/>
    <mergeCell ref="J217:J222"/>
    <mergeCell ref="K217:K222"/>
    <mergeCell ref="L217:L222"/>
    <mergeCell ref="M217:M222"/>
    <mergeCell ref="N217:N222"/>
    <mergeCell ref="A223:A228"/>
    <mergeCell ref="B223:B228"/>
    <mergeCell ref="C223:C228"/>
    <mergeCell ref="D223:D228"/>
    <mergeCell ref="AT223:AT228"/>
    <mergeCell ref="AU223:AU228"/>
    <mergeCell ref="AL223:AL228"/>
    <mergeCell ref="AM223:AM228"/>
    <mergeCell ref="AR223:AR228"/>
    <mergeCell ref="AS223:AS228"/>
    <mergeCell ref="J223:J228"/>
    <mergeCell ref="K223:K228"/>
    <mergeCell ref="L223:L228"/>
    <mergeCell ref="M223:M228"/>
    <mergeCell ref="N223:N228"/>
    <mergeCell ref="AT229:AT234"/>
    <mergeCell ref="AU229:AU234"/>
    <mergeCell ref="A235:A240"/>
    <mergeCell ref="B235:B240"/>
    <mergeCell ref="C235:C240"/>
    <mergeCell ref="D235:D240"/>
    <mergeCell ref="AL229:AL234"/>
    <mergeCell ref="AM229:AM234"/>
    <mergeCell ref="AR229:AR234"/>
    <mergeCell ref="AS229:AS234"/>
    <mergeCell ref="J229:J234"/>
    <mergeCell ref="K229:K234"/>
    <mergeCell ref="L229:L234"/>
    <mergeCell ref="M229:M234"/>
    <mergeCell ref="N229:N234"/>
    <mergeCell ref="AT235:AT240"/>
    <mergeCell ref="AU235:AU240"/>
    <mergeCell ref="A229:A234"/>
    <mergeCell ref="B229:B234"/>
    <mergeCell ref="C229:C234"/>
    <mergeCell ref="D229:D234"/>
    <mergeCell ref="AL235:AL240"/>
    <mergeCell ref="AM235:AM240"/>
    <mergeCell ref="AR235:AR240"/>
    <mergeCell ref="AS235:AS240"/>
    <mergeCell ref="J235:J240"/>
    <mergeCell ref="K235:K240"/>
    <mergeCell ref="L235:L240"/>
    <mergeCell ref="M235:M240"/>
    <mergeCell ref="N235:N240"/>
    <mergeCell ref="AT241:AT246"/>
    <mergeCell ref="AU241:AU246"/>
    <mergeCell ref="A247:A252"/>
    <mergeCell ref="B247:B252"/>
    <mergeCell ref="C247:C252"/>
    <mergeCell ref="D247:D252"/>
    <mergeCell ref="AL241:AL246"/>
    <mergeCell ref="AM241:AM246"/>
    <mergeCell ref="AR241:AR246"/>
    <mergeCell ref="AS241:AS246"/>
    <mergeCell ref="J241:J246"/>
    <mergeCell ref="K241:K246"/>
    <mergeCell ref="L241:L246"/>
    <mergeCell ref="M241:M246"/>
    <mergeCell ref="N241:N246"/>
    <mergeCell ref="AT247:AT252"/>
    <mergeCell ref="AU247:AU252"/>
    <mergeCell ref="A241:A246"/>
    <mergeCell ref="B241:B246"/>
    <mergeCell ref="C241:C246"/>
    <mergeCell ref="D241:D246"/>
    <mergeCell ref="AL247:AL252"/>
    <mergeCell ref="AM247:AM252"/>
    <mergeCell ref="AR247:AR252"/>
    <mergeCell ref="AS247:AS252"/>
    <mergeCell ref="J247:J252"/>
    <mergeCell ref="K247:K252"/>
    <mergeCell ref="L247:L252"/>
    <mergeCell ref="M247:M252"/>
    <mergeCell ref="N247:N252"/>
    <mergeCell ref="N253:N258"/>
    <mergeCell ref="AT259:AT264"/>
    <mergeCell ref="AU259:AU264"/>
    <mergeCell ref="A253:A258"/>
    <mergeCell ref="B253:B258"/>
    <mergeCell ref="C253:C258"/>
    <mergeCell ref="D253:D258"/>
    <mergeCell ref="AL259:AL264"/>
    <mergeCell ref="AM259:AM264"/>
    <mergeCell ref="AR259:AR264"/>
    <mergeCell ref="AS259:AS264"/>
    <mergeCell ref="J259:J264"/>
    <mergeCell ref="K259:K264"/>
    <mergeCell ref="L259:L264"/>
    <mergeCell ref="M259:M264"/>
    <mergeCell ref="N259:N264"/>
    <mergeCell ref="AT265:AT270"/>
    <mergeCell ref="AU265:AU270"/>
    <mergeCell ref="A271:A276"/>
    <mergeCell ref="B271:B276"/>
    <mergeCell ref="C271:C276"/>
    <mergeCell ref="D271:D276"/>
    <mergeCell ref="AL265:AL270"/>
    <mergeCell ref="AM265:AM270"/>
    <mergeCell ref="AR265:AR270"/>
    <mergeCell ref="AS265:AS270"/>
    <mergeCell ref="J265:J270"/>
    <mergeCell ref="K265:K270"/>
    <mergeCell ref="L265:L270"/>
    <mergeCell ref="M265:M270"/>
    <mergeCell ref="N265:N270"/>
    <mergeCell ref="AT271:AT276"/>
    <mergeCell ref="AU271:AU276"/>
    <mergeCell ref="A265:A270"/>
    <mergeCell ref="B265:B270"/>
    <mergeCell ref="C265:C270"/>
    <mergeCell ref="D265:D270"/>
    <mergeCell ref="AL271:AL276"/>
    <mergeCell ref="AM271:AM276"/>
    <mergeCell ref="AR271:AR276"/>
    <mergeCell ref="AS271:AS276"/>
    <mergeCell ref="J271:J276"/>
    <mergeCell ref="K271:K276"/>
    <mergeCell ref="L271:L276"/>
    <mergeCell ref="M271:M276"/>
    <mergeCell ref="N271:N276"/>
    <mergeCell ref="A283:A288"/>
    <mergeCell ref="B283:B288"/>
    <mergeCell ref="C283:C288"/>
    <mergeCell ref="D283:D288"/>
    <mergeCell ref="AL277:AL282"/>
    <mergeCell ref="AM277:AM282"/>
    <mergeCell ref="AR277:AR282"/>
    <mergeCell ref="AS277:AS282"/>
    <mergeCell ref="J277:J282"/>
    <mergeCell ref="K277:K282"/>
    <mergeCell ref="L277:L282"/>
    <mergeCell ref="M277:M282"/>
    <mergeCell ref="N277:N282"/>
    <mergeCell ref="AT283:AT288"/>
    <mergeCell ref="AU283:AU288"/>
    <mergeCell ref="A277:A282"/>
    <mergeCell ref="B277:B282"/>
    <mergeCell ref="C277:C282"/>
    <mergeCell ref="D277:D282"/>
    <mergeCell ref="AL283:AL288"/>
    <mergeCell ref="AM283:AM288"/>
    <mergeCell ref="AR283:AR288"/>
    <mergeCell ref="AS283:AS288"/>
    <mergeCell ref="J283:J288"/>
    <mergeCell ref="K283:K288"/>
    <mergeCell ref="L283:L288"/>
    <mergeCell ref="M283:M288"/>
    <mergeCell ref="N283:N288"/>
    <mergeCell ref="A295:A300"/>
    <mergeCell ref="B295:B300"/>
    <mergeCell ref="C295:C300"/>
    <mergeCell ref="D295:D300"/>
    <mergeCell ref="AL289:AL294"/>
    <mergeCell ref="AM289:AM294"/>
    <mergeCell ref="AR289:AR294"/>
    <mergeCell ref="AS289:AS294"/>
    <mergeCell ref="J289:J294"/>
    <mergeCell ref="K289:K294"/>
    <mergeCell ref="L289:L294"/>
    <mergeCell ref="M289:M294"/>
    <mergeCell ref="N289:N294"/>
    <mergeCell ref="AT295:AT300"/>
    <mergeCell ref="AU295:AU300"/>
    <mergeCell ref="A289:A294"/>
    <mergeCell ref="B289:B294"/>
    <mergeCell ref="C289:C294"/>
    <mergeCell ref="D289:D294"/>
    <mergeCell ref="AL295:AL300"/>
    <mergeCell ref="AM295:AM300"/>
    <mergeCell ref="AR295:AR300"/>
    <mergeCell ref="AS295:AS300"/>
    <mergeCell ref="J295:J300"/>
    <mergeCell ref="K295:K300"/>
    <mergeCell ref="L295:L300"/>
    <mergeCell ref="M295:M300"/>
    <mergeCell ref="N295:N300"/>
    <mergeCell ref="AL301:AL306"/>
    <mergeCell ref="AM301:AM306"/>
    <mergeCell ref="AR301:AR306"/>
    <mergeCell ref="AS301:AS306"/>
    <mergeCell ref="J301:J306"/>
    <mergeCell ref="K301:K306"/>
    <mergeCell ref="L301:L306"/>
    <mergeCell ref="M301:M306"/>
    <mergeCell ref="N301:N306"/>
    <mergeCell ref="AT307:AT312"/>
    <mergeCell ref="AU307:AU312"/>
    <mergeCell ref="A301:A306"/>
    <mergeCell ref="B301:B306"/>
    <mergeCell ref="C301:C306"/>
    <mergeCell ref="D301:D306"/>
    <mergeCell ref="AR307:AR312"/>
    <mergeCell ref="AS307:AS312"/>
    <mergeCell ref="J307:J312"/>
    <mergeCell ref="K307:K312"/>
    <mergeCell ref="L307:L312"/>
    <mergeCell ref="L313:L318"/>
    <mergeCell ref="M313:M318"/>
    <mergeCell ref="N313:N318"/>
    <mergeCell ref="N319:N324"/>
    <mergeCell ref="AL319:AL324"/>
    <mergeCell ref="AM319:AM324"/>
    <mergeCell ref="A319:A324"/>
    <mergeCell ref="B319:B324"/>
    <mergeCell ref="C319:C324"/>
    <mergeCell ref="D319:D324"/>
    <mergeCell ref="AR319:AR324"/>
    <mergeCell ref="AS319:AS324"/>
    <mergeCell ref="J319:J324"/>
    <mergeCell ref="K319:K324"/>
    <mergeCell ref="L319:L324"/>
    <mergeCell ref="M319:M324"/>
    <mergeCell ref="A307:A312"/>
    <mergeCell ref="B307:B312"/>
    <mergeCell ref="C307:C312"/>
    <mergeCell ref="D307:D312"/>
    <mergeCell ref="BD295:BD300"/>
    <mergeCell ref="BD79:BD84"/>
    <mergeCell ref="BD85:BD90"/>
    <mergeCell ref="BD229:BD234"/>
    <mergeCell ref="BD235:BD240"/>
    <mergeCell ref="AT319:AT324"/>
    <mergeCell ref="AU319:AU324"/>
    <mergeCell ref="A313:A318"/>
    <mergeCell ref="B313:B318"/>
    <mergeCell ref="C313:C318"/>
    <mergeCell ref="D313:D318"/>
    <mergeCell ref="AL307:AL312"/>
    <mergeCell ref="AM307:AM312"/>
    <mergeCell ref="AV14:AV18"/>
    <mergeCell ref="AW14:AW18"/>
    <mergeCell ref="AX14:AX18"/>
    <mergeCell ref="AZ14:AZ18"/>
    <mergeCell ref="BA14:BA18"/>
    <mergeCell ref="AY14:AY18"/>
    <mergeCell ref="I272:I273"/>
    <mergeCell ref="O272:O273"/>
    <mergeCell ref="AV272:AV273"/>
    <mergeCell ref="AW272:AW273"/>
    <mergeCell ref="AX272:AX273"/>
    <mergeCell ref="AY272:AY273"/>
    <mergeCell ref="M307:M312"/>
    <mergeCell ref="N307:N312"/>
    <mergeCell ref="AT313:AT318"/>
    <mergeCell ref="AU313:AU318"/>
    <mergeCell ref="J313:J318"/>
    <mergeCell ref="E13:E18"/>
    <mergeCell ref="K313:K318"/>
  </mergeCells>
  <conditionalFormatting sqref="N7 N73 AT73">
    <cfRule type="cellIs" dxfId="67" priority="101" operator="equal">
      <formula>"Extremo"</formula>
    </cfRule>
    <cfRule type="cellIs" dxfId="66" priority="102" operator="equal">
      <formula>"Alto"</formula>
    </cfRule>
    <cfRule type="cellIs" dxfId="65" priority="103" operator="equal">
      <formula>"Moderado"</formula>
    </cfRule>
    <cfRule type="cellIs" dxfId="64" priority="104" operator="equal">
      <formula>"Bajo"</formula>
    </cfRule>
  </conditionalFormatting>
  <conditionalFormatting sqref="N13 N19 N25 N31 N37 N43 N49 N55 N61 N67 N79 N85 N91 N97 N103 N109 N115 N121 N127 N133 N139 N145 N151 N157 N163 N169 N175 N181 N187 N193 N199 N205 N211 N217 N223 N229 N235 N241 N247 N253 N259 N265 N271 N277 N283 N289 N295 N301 N307 N313 N319">
    <cfRule type="cellIs" dxfId="63" priority="93" operator="equal">
      <formula>"Extremo"</formula>
    </cfRule>
    <cfRule type="cellIs" dxfId="62" priority="94" operator="equal">
      <formula>"Alto"</formula>
    </cfRule>
    <cfRule type="cellIs" dxfId="61" priority="95" operator="equal">
      <formula>"Moderado"</formula>
    </cfRule>
    <cfRule type="cellIs" dxfId="60" priority="96" operator="equal">
      <formula>"Bajo"</formula>
    </cfRule>
  </conditionalFormatting>
  <conditionalFormatting sqref="N328 N330:N332">
    <cfRule type="cellIs" dxfId="59" priority="5" operator="equal">
      <formula>"Extremo"</formula>
    </cfRule>
    <cfRule type="cellIs" dxfId="58" priority="6" operator="equal">
      <formula>"Alto"</formula>
    </cfRule>
    <cfRule type="cellIs" dxfId="57" priority="7" operator="equal">
      <formula>"Moderado"</formula>
    </cfRule>
    <cfRule type="cellIs" dxfId="56" priority="8" operator="equal">
      <formula>"Bajo"</formula>
    </cfRule>
  </conditionalFormatting>
  <conditionalFormatting sqref="AT7">
    <cfRule type="cellIs" dxfId="55" priority="97" operator="equal">
      <formula>"Extremo"</formula>
    </cfRule>
    <cfRule type="cellIs" dxfId="54" priority="98" operator="equal">
      <formula>"Alto"</formula>
    </cfRule>
    <cfRule type="cellIs" dxfId="53" priority="99" operator="equal">
      <formula>"Moderado"</formula>
    </cfRule>
    <cfRule type="cellIs" dxfId="52" priority="100" operator="equal">
      <formula>"Bajo"</formula>
    </cfRule>
  </conditionalFormatting>
  <conditionalFormatting sqref="AT13 AT19 AT25 AT31 AT37 AT43 AT49 AT55 AT61 AT67 AT79 AT85 AT91 AT97 AT103 AT109 AT115 AT121 AT127 AT133 AT139 AT145 AT151 AT157 AT163 AT169 AT175 AT181 AT187 AT193 AT199 AT205 AT211 AT217 AT223 AT229 AT235 AT241 AT247 AT253 AT259 AT265 AT271 AT277 AT283 AT289 AT295 AT301 AT307 AT313 AT319 AT325">
    <cfRule type="cellIs" dxfId="51" priority="89" operator="equal">
      <formula>"Extremo"</formula>
    </cfRule>
    <cfRule type="cellIs" dxfId="50" priority="90" operator="equal">
      <formula>"Alto"</formula>
    </cfRule>
    <cfRule type="cellIs" dxfId="49" priority="91" operator="equal">
      <formula>"Moderado"</formula>
    </cfRule>
    <cfRule type="cellIs" dxfId="48" priority="92" operator="equal">
      <formula>"Bajo"</formula>
    </cfRule>
  </conditionalFormatting>
  <conditionalFormatting sqref="AT328 AT330:AT332">
    <cfRule type="cellIs" dxfId="47" priority="1" operator="equal">
      <formula>"Extremo"</formula>
    </cfRule>
    <cfRule type="cellIs" dxfId="46" priority="2" operator="equal">
      <formula>"Alto"</formula>
    </cfRule>
    <cfRule type="cellIs" dxfId="45" priority="3" operator="equal">
      <formula>"Moderado"</formula>
    </cfRule>
    <cfRule type="cellIs" dxfId="44" priority="4" operator="equal">
      <formula>"Bajo"</formula>
    </cfRule>
  </conditionalFormatting>
  <conditionalFormatting sqref="AV278:AV279">
    <cfRule type="cellIs" dxfId="43" priority="9" operator="equal">
      <formula>"Extremo"</formula>
    </cfRule>
    <cfRule type="cellIs" dxfId="42" priority="10" operator="equal">
      <formula>"Alto"</formula>
    </cfRule>
    <cfRule type="cellIs" dxfId="41" priority="11" operator="equal">
      <formula>"Moderado"</formula>
    </cfRule>
    <cfRule type="cellIs" dxfId="40" priority="12" operator="equal">
      <formula>"Bajo"</formula>
    </cfRule>
  </conditionalFormatting>
  <conditionalFormatting sqref="AV271:BA272">
    <cfRule type="cellIs" dxfId="39" priority="17" operator="equal">
      <formula>"Extremo"</formula>
    </cfRule>
    <cfRule type="cellIs" dxfId="38" priority="18" operator="equal">
      <formula>"Alto"</formula>
    </cfRule>
    <cfRule type="cellIs" dxfId="37" priority="19" operator="equal">
      <formula>"Moderado"</formula>
    </cfRule>
    <cfRule type="cellIs" dxfId="36" priority="20" operator="equal">
      <formula>"Bajo"</formula>
    </cfRule>
  </conditionalFormatting>
  <dataValidations count="60">
    <dataValidation type="list" allowBlank="1" showInputMessage="1" showErrorMessage="1" sqref="P182:P186" xr:uid="{00000000-0002-0000-0100-000001000000}">
      <formula1>$G$181:$G$186</formula1>
    </dataValidation>
    <dataValidation type="list" allowBlank="1" showInputMessage="1" showErrorMessage="1" sqref="P178:P180" xr:uid="{00000000-0002-0000-0100-000002000000}">
      <formula1>$G$175:$G$180</formula1>
    </dataValidation>
    <dataValidation type="list" allowBlank="1" showInputMessage="1" showErrorMessage="1" sqref="P171:P174" xr:uid="{00000000-0002-0000-0100-000003000000}">
      <formula1>$G$169:$G$174</formula1>
    </dataValidation>
    <dataValidation type="list" allowBlank="1" showInputMessage="1" showErrorMessage="1" sqref="P165:P168" xr:uid="{00000000-0002-0000-0100-000004000000}">
      <formula1>$G$163:$G$168</formula1>
    </dataValidation>
    <dataValidation type="list" allowBlank="1" showInputMessage="1" showErrorMessage="1" sqref="P161:P162" xr:uid="{00000000-0002-0000-0100-000005000000}">
      <formula1>$G$157:$G$162</formula1>
    </dataValidation>
    <dataValidation type="list" allowBlank="1" showInputMessage="1" showErrorMessage="1" sqref="P154:P156" xr:uid="{00000000-0002-0000-0100-000006000000}">
      <formula1>$G$151:$G$156</formula1>
    </dataValidation>
    <dataValidation type="list" allowBlank="1" showInputMessage="1" showErrorMessage="1" sqref="P149:P150" xr:uid="{00000000-0002-0000-0100-000007000000}">
      <formula1>$G$145:$G$150</formula1>
    </dataValidation>
    <dataValidation type="list" allowBlank="1" showInputMessage="1" showErrorMessage="1" sqref="P142:P144" xr:uid="{00000000-0002-0000-0100-000008000000}">
      <formula1>$G$139:$G$144</formula1>
    </dataValidation>
    <dataValidation type="list" allowBlank="1" showInputMessage="1" showErrorMessage="1" sqref="P136:P138" xr:uid="{00000000-0002-0000-0100-000009000000}">
      <formula1>$G$133:$G$138</formula1>
    </dataValidation>
    <dataValidation type="list" allowBlank="1" showInputMessage="1" showErrorMessage="1" sqref="P131:P132" xr:uid="{00000000-0002-0000-0100-00000A000000}">
      <formula1>$G$127:$G$132</formula1>
    </dataValidation>
    <dataValidation type="list" allowBlank="1" showInputMessage="1" showErrorMessage="1" sqref="P124:P126" xr:uid="{00000000-0002-0000-0100-00000B000000}">
      <formula1>$G$121:$G$126</formula1>
    </dataValidation>
    <dataValidation type="list" allowBlank="1" showInputMessage="1" showErrorMessage="1" sqref="P119:P120" xr:uid="{00000000-0002-0000-0100-00000C000000}">
      <formula1>$G$115:$G$120</formula1>
    </dataValidation>
    <dataValidation type="list" allowBlank="1" showInputMessage="1" showErrorMessage="1" sqref="P112:P114" xr:uid="{00000000-0002-0000-0100-00000D000000}">
      <formula1>$G$109:$G$114</formula1>
    </dataValidation>
    <dataValidation type="list" allowBlank="1" showInputMessage="1" showErrorMessage="1" sqref="P106:P108 P100" xr:uid="{00000000-0002-0000-0100-00000E000000}">
      <formula1>$G$103:$G$108</formula1>
    </dataValidation>
    <dataValidation type="list" allowBlank="1" showInputMessage="1" showErrorMessage="1" sqref="P101:P102" xr:uid="{00000000-0002-0000-0100-00000F000000}">
      <formula1>$G$97:$G$102</formula1>
    </dataValidation>
    <dataValidation type="list" allowBlank="1" showInputMessage="1" showErrorMessage="1" sqref="P94:P96" xr:uid="{00000000-0002-0000-0100-000010000000}">
      <formula1>$G$91:$G$96</formula1>
    </dataValidation>
    <dataValidation type="list" allowBlank="1" showInputMessage="1" showErrorMessage="1" sqref="P88:P90" xr:uid="{00000000-0002-0000-0100-000011000000}">
      <formula1>$G$85:$G$90</formula1>
    </dataValidation>
    <dataValidation type="list" allowBlank="1" showInputMessage="1" showErrorMessage="1" sqref="P82:P84" xr:uid="{00000000-0002-0000-0100-000012000000}">
      <formula1>$G$79:$G$84</formula1>
    </dataValidation>
    <dataValidation type="list" allowBlank="1" showInputMessage="1" showErrorMessage="1" sqref="P76:P78" xr:uid="{00000000-0002-0000-0100-000013000000}">
      <formula1>$G$73:$G$78</formula1>
    </dataValidation>
    <dataValidation type="list" allowBlank="1" showInputMessage="1" showErrorMessage="1" sqref="P70:P72" xr:uid="{00000000-0002-0000-0100-000015000000}">
      <formula1>$G$67:$G$72</formula1>
    </dataValidation>
    <dataValidation type="list" allowBlank="1" showInputMessage="1" showErrorMessage="1" sqref="P65:P66" xr:uid="{00000000-0002-0000-0100-000016000000}">
      <formula1>$G$61:$G$66</formula1>
    </dataValidation>
    <dataValidation type="list" allowBlank="1" showInputMessage="1" showErrorMessage="1" sqref="P51:P54" xr:uid="{00000000-0002-0000-0100-000018000000}">
      <formula1>$G$49:$G$54</formula1>
    </dataValidation>
    <dataValidation type="list" allowBlank="1" showInputMessage="1" showErrorMessage="1" sqref="P47:P48" xr:uid="{00000000-0002-0000-0100-000019000000}">
      <formula1>$G$43:$G$48</formula1>
    </dataValidation>
    <dataValidation type="list" allowBlank="1" showInputMessage="1" showErrorMessage="1" sqref="P42 P217:P218" xr:uid="{00000000-0002-0000-0100-00001A000000}">
      <formula1>$G$37:$G$42</formula1>
    </dataValidation>
    <dataValidation type="list" allowBlank="1" showInputMessage="1" showErrorMessage="1" sqref="P36 P211:P213 P181" xr:uid="{00000000-0002-0000-0100-00001B000000}">
      <formula1>$G$31:$G$36</formula1>
    </dataValidation>
    <dataValidation type="list" allowBlank="1" showInputMessage="1" showErrorMessage="1" sqref="P29:P30 P73:P74 P175:P177 P205:P208" xr:uid="{00000000-0002-0000-0100-00001C000000}">
      <formula1>$G$25:$G$30</formula1>
    </dataValidation>
    <dataValidation type="list" allowBlank="1" showInputMessage="1" showErrorMessage="1" sqref="P21:P24 P253:P254 P199 P169" xr:uid="{00000000-0002-0000-0100-00001D000000}">
      <formula1>$G$19:$G$24</formula1>
    </dataValidation>
    <dataValidation type="list" allowBlank="1" showInputMessage="1" showErrorMessage="1" sqref="P17:P20 P37:P41 P49:P50 P67:P69 P151:P153 P241:P243 P193:P197 P223:P224" xr:uid="{00000000-0002-0000-0100-00001E000000}">
      <formula1>$G$13:$G$18</formula1>
    </dataValidation>
    <dataValidation type="list" allowBlank="1" showInputMessage="1" showErrorMessage="1" sqref="P145:P148 P25:P28 P31:P35 P43:P46 P247:P248 P7:P16 P91:P93 P97:P99 P103:P105 P109:P111 P158:P160 P61 P187:P191 P229:P232 P200:P201 P259:P261 P55:P58 P64 P214" xr:uid="{00000000-0002-0000-0100-000020000000}">
      <formula1>$G$7:$G$12</formula1>
    </dataValidation>
    <dataValidation allowBlank="1" showInputMessage="1" showErrorMessage="1" prompt="Casi Seguro (5): Se espera que evento ocurra en la mayoría _x000a_Probable (4): Es viable que el evento ocurra en la mayoría_x000a_Posible (3): Puede ocurrir en algún momento. Últimos 2 años_x000a_Improbable (2): Puede Ocurrir en algún momento. Últimos 5 años_x000a_Rara Vez (1)" sqref="J6" xr:uid="{00000000-0002-0000-0100-000021000000}"/>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K6:M6" xr:uid="{00000000-0002-0000-0100-000022000000}"/>
    <dataValidation allowBlank="1" showInputMessage="1" showErrorMessage="1" prompt="Si el resultado de las calificaciones del control o promedio en el diseño de los controles, está por debajo de 96%, se debe establecer un plan de acción que permita tener un control bien diseñado" sqref="AF6" xr:uid="{00000000-0002-0000-0100-000023000000}"/>
    <dataValidation allowBlank="1" showInputMessage="1" showErrorMessage="1" prompt="Fuerte+Fuerte=Fuerte_x000a_Fuerte+Moderado=Moderado_x000a_Fuerte+Débil=Débil_x000a_Moderado+Fuerte=Moderado_x000a_Moderado+Moderado=Moderado_x000a_Moderado+Débil=Débil_x000a_Débil+Fuerte=Débil_x000a_Débil+Moderado=Débil_x000a_Débil+Débil=Débil" sqref="AJ6" xr:uid="{00000000-0002-0000-0100-000024000000}"/>
    <dataValidation allowBlank="1" showInputMessage="1" showErrorMessage="1" prompt="Promedio entre el diseño Total de Control y Total Solidez Individual " sqref="AL6" xr:uid="{00000000-0002-0000-0100-000025000000}"/>
    <dataValidation allowBlank="1" showInputMessage="1" showErrorMessage="1" prompt="- Adecuado (15)_x000a__x000a_- Inadecuado (0)_x000a_" sqref="T6:U6" xr:uid="{00000000-0002-0000-0100-000026000000}"/>
    <dataValidation allowBlank="1" showInputMessage="1" showErrorMessage="1" prompt="- Se investigan y se resuelven Oportunamente (15)_x000a__x000a_- No se investigan y resuelven Oportunamente (0)_x000a_" sqref="AB6:AC6" xr:uid="{00000000-0002-0000-0100-000027000000}"/>
    <dataValidation allowBlank="1" showInputMessage="1" showErrorMessage="1" prompt="Completa (10)_x000a__x000a_Incompleta (5)_x000a__x000a_No esxiste (0)" sqref="AD6:AE6" xr:uid="{00000000-0002-0000-0100-000028000000}"/>
    <dataValidation allowBlank="1" showInputMessage="1" showErrorMessage="1" prompt="Preventivo: Diseñados para evitar un evento no deseado en el momento que se produce, es decir intenta evitar la ocurrencia_x000a__x000a_Detectivos: Diseñados para identificar un evento o resultado no previsto después de que se haya producido, es decir corregir " sqref="Q6" xr:uid="{00000000-0002-0000-0100-000029000000}"/>
    <dataValidation allowBlank="1" showInputMessage="1" showErrorMessage="1" prompt="- Asignado (15)_x000a__x000a_- No Asignado (0)" sqref="R6:S6" xr:uid="{00000000-0002-0000-0100-00002A000000}"/>
    <dataValidation allowBlank="1" showInputMessage="1" showErrorMessage="1" prompt="- Oportuna (15)_x000a__x000a_- Inoportuna (0)_x000a_" sqref="V6:W6" xr:uid="{00000000-0002-0000-0100-00002B000000}"/>
    <dataValidation allowBlank="1" showInputMessage="1" showErrorMessage="1" prompt="- Prevenir (15)_x000a__x000a_- Detectar (10)_x000a__x000a_- No es un Control (0)" sqref="X6:Y6" xr:uid="{00000000-0002-0000-0100-00002C000000}"/>
    <dataValidation allowBlank="1" showInputMessage="1" showErrorMessage="1" prompt="- Confiable (15)_x000a__x000a_- No Confiable (0)_x000a_" sqref="Z6:AA6" xr:uid="{00000000-0002-0000-0100-00002D000000}"/>
    <dataValidation allowBlank="1" showInputMessage="1" showErrorMessage="1" prompt="Fuerte: Calificación entre 96 y 100_x000a__x000a_Moderado: Calificación entre 86 y 95_x000a__x000a_Débil: Calificación entre 0 y 85" sqref="AG6" xr:uid="{00000000-0002-0000-0100-00002E000000}"/>
    <dataValidation allowBlank="1" showInputMessage="1" showErrorMessage="1" prompt="Fuerte: Siempre se ejecuta_x000a__x000a_Moderado: Algunas veces_x000a__x000a_Débil: No se ejecuta " sqref="AH6:AI6" xr:uid="{00000000-0002-0000-0100-00002F000000}"/>
    <dataValidation allowBlank="1" showInputMessage="1" showErrorMessage="1" prompt="Fuerte: 100_x000a__x000a_Moderado: 50_x000a__x000a_Débil: 0" sqref="AK6" xr:uid="{00000000-0002-0000-0100-000030000000}"/>
    <dataValidation allowBlank="1" showInputMessage="1" showErrorMessage="1" prompt="Fuerte: 100_x000a__x000a_Moderado: Entre 50 y 99_x000a__x000a_Débil: Menor a 50" sqref="AM6" xr:uid="{00000000-0002-0000-0100-000031000000}"/>
    <dataValidation type="list" allowBlank="1" showInputMessage="1" showErrorMessage="1" sqref="P80:P81" xr:uid="{00000000-0002-0000-0100-000032000000}">
      <formula1>$F$7:$F$9</formula1>
    </dataValidation>
    <dataValidation type="list" allowBlank="1" showInputMessage="1" showErrorMessage="1" sqref="P85:P87" xr:uid="{00000000-0002-0000-0100-000033000000}">
      <formula1>$F$10:$F$13</formula1>
    </dataValidation>
    <dataValidation type="list" allowBlank="1" showInputMessage="1" showErrorMessage="1" sqref="P115:P118" xr:uid="{00000000-0002-0000-0100-000034000000}">
      <formula1>$F$7:$F$12</formula1>
    </dataValidation>
    <dataValidation type="list" allowBlank="1" showInputMessage="1" showErrorMessage="1" sqref="P121:P123 P235:P238" xr:uid="{00000000-0002-0000-0100-000035000000}">
      <formula1>$F$13:$F$16</formula1>
    </dataValidation>
    <dataValidation type="list" allowBlank="1" showInputMessage="1" showErrorMessage="1" sqref="P127:P130" xr:uid="{00000000-0002-0000-0100-000036000000}">
      <formula1>$F$17:$F$20</formula1>
    </dataValidation>
    <dataValidation type="list" allowBlank="1" showInputMessage="1" showErrorMessage="1" sqref="P133:P135" xr:uid="{00000000-0002-0000-0100-000037000000}">
      <formula1>$F$21:$F$23</formula1>
    </dataValidation>
    <dataValidation type="list" allowBlank="1" showInputMessage="1" showErrorMessage="1" sqref="P139:P141" xr:uid="{00000000-0002-0000-0100-000038000000}">
      <formula1>$F$24:$F$29</formula1>
    </dataValidation>
    <dataValidation type="list" allowBlank="1" showInputMessage="1" showErrorMessage="1" sqref="P271:P272" xr:uid="{00000000-0002-0000-0100-000039000000}">
      <formula1>$F$7:$F$10</formula1>
    </dataValidation>
    <dataValidation type="list" allowBlank="1" showInputMessage="1" showErrorMessage="1" sqref="P277:P279" xr:uid="{00000000-0002-0000-0100-00003A000000}">
      <formula1>$F$11:$F$16</formula1>
    </dataValidation>
    <dataValidation type="list" allowBlank="1" showInputMessage="1" showErrorMessage="1" sqref="P283:P285" xr:uid="{4FB67408-11A3-46AF-B2F0-9B4B460A4E01}">
      <formula1>$F$17:$F$22</formula1>
    </dataValidation>
    <dataValidation type="list" allowBlank="1" showInputMessage="1" showErrorMessage="1" sqref="P192 P198 P288 P280:P282 P273:P276 P266:P270 P262:P264 P255:P258 P249:P252 P244:P246 P239:P240 P233:P234 P215:P216 P219:P222 P209:P210 P225:P228 P202:P204 P291:P325" xr:uid="{00000000-0002-0000-0100-00001F000000}">
      <formula1>$G$13:$G$324</formula1>
    </dataValidation>
    <dataValidation type="list" allowBlank="1" showInputMessage="1" showErrorMessage="1" sqref="P286" xr:uid="{8FB1B729-9FDA-42A6-8009-1CA1947E420B}">
      <formula1>$G$13:$G$284</formula1>
    </dataValidation>
    <dataValidation type="list" allowBlank="1" showInputMessage="1" showErrorMessage="1" sqref="P328:P329" xr:uid="{3B53678E-D986-4EDB-B5CA-8541504140D3}">
      <formula1>$G$9:$G$321</formula1>
    </dataValidation>
    <dataValidation type="list" allowBlank="1" showInputMessage="1" showErrorMessage="1" sqref="P332" xr:uid="{9E760F66-37C4-4DDD-9736-3E79B326517E}">
      <formula1>$G$8:$G$13</formula1>
    </dataValidation>
  </dataValidations>
  <printOptions horizontalCentered="1"/>
  <pageMargins left="0" right="0" top="0.35433070866141736" bottom="0.35433070866141736" header="0.31496062992125984" footer="0.31496062992125984"/>
  <pageSetup paperSize="5" scale="50" pageOrder="overThenDown" orientation="portrait"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41">
        <x14:dataValidation type="list" allowBlank="1" showInputMessage="1" showErrorMessage="1" xr:uid="{00000000-0002-0000-0100-00003C000000}">
          <x14:formula1>
            <xm:f>Listados!$E$3:$E$4</xm:f>
          </x14:formula1>
          <xm:sqref>H10:H12 H17:H18 H102 H29:H30 H35:H36 H42 H47:H48 H51:H54 H60 H255:H258 H313:H318 H268:H270 H263:H264 H239:H240 H244:H246 H94:H96 H286:H306 H106:H108 H112:H114 H118:H120 H124:H126 H131:H132 H136:H138 H141:H144 H148:H150 H155:H156 H160:H162 H166:H168 H172:H174 H177:H180 H182:H186 H191:H192 H197:H198 H202:H204 H226:H228 H209:H210 H219:H222 H215:H216 H233:H234 H274:H282 H322:H324 H251:H252 H333:H1048576</xm:sqref>
        </x14:dataValidation>
        <x14:dataValidation type="list" allowBlank="1" showInputMessage="1" showErrorMessage="1" xr:uid="{00000000-0002-0000-0100-00003D000000}">
          <x14:formula1>
            <xm:f>Listados!$E$26:$E$28</xm:f>
          </x14:formula1>
          <xm:sqref>AH7:AH78 AH82:AH324</xm:sqref>
        </x14:dataValidation>
        <x14:dataValidation type="list" allowBlank="1" showInputMessage="1" showErrorMessage="1" xr:uid="{00000000-0002-0000-0100-00003E000000}">
          <x14:formula1>
            <xm:f>Listados!$C$26:$C$28</xm:f>
          </x14:formula1>
          <xm:sqref>AD7:AD12 AD15:AD78 AD82:AD324</xm:sqref>
        </x14:dataValidation>
        <x14:dataValidation type="list" allowBlank="1" showInputMessage="1" showErrorMessage="1" xr:uid="{00000000-0002-0000-0100-00003F000000}">
          <x14:formula1>
            <xm:f>Listados!$G$26:$G$27</xm:f>
          </x14:formula1>
          <xm:sqref>Q17:Q24 Q29:Q30 Q35:Q36 Q42 Q47:Q48 Q51:Q54 Q60 Q65:Q66 Q70:Q72 Q75:Q78 Q82:Q84 Q101:Q102 Q106:Q108 Q112:Q114 Q119:Q120 Q124:Q126 Q131:Q132 Q136:Q138 Q142:Q144 Q149:Q150 Q154:Q156 Q159:Q162 Q164:Q168 Q171:Q180 Q191:Q192 Q202:Q204 Q225:Q228 Q209:Q210 Q219:Q222 Q215:Q216 Q233:Q234 Q239:Q246 Q7:Q12 Q249:Q258 Q262:Q270 Q273:Q324 X82:X84 X7:X12 Q182:Q186 Q198 Q88:Q96 X15:X78 X89:X324</xm:sqref>
        </x14:dataValidation>
        <x14:dataValidation type="list" allowBlank="1" showInputMessage="1" showErrorMessage="1" xr:uid="{00000000-0002-0000-0100-000040000000}">
          <x14:formula1>
            <xm:f>Listados!$B$3:$B$20</xm:f>
          </x14:formula1>
          <xm:sqref>B7:B12 B319 B283 B307 B301 B295 B289 B199 B265 B271 B253 B79 B259 B85 B97 B247 B109 B115 B121 B127 B133 B217 B139 B241 B157 B193 B163 B169 B175 B181 B211 B187 B205 B235 B229 B277 B313 B331:B332</xm:sqref>
        </x14:dataValidation>
        <x14:dataValidation type="list" allowBlank="1" showInputMessage="1" showErrorMessage="1" xr:uid="{00000000-0002-0000-0100-000041000000}">
          <x14:formula1>
            <xm:f>Corrupción!$J$3:$J$7</xm:f>
          </x14:formula1>
          <xm:sqref>J7:J12 J79:J102 J121:J144 J235:J240 J265:J324</xm:sqref>
        </x14:dataValidation>
        <x14:dataValidation type="list" allowBlank="1" showInputMessage="1" showErrorMessage="1" xr:uid="{00000000-0002-0000-0100-000042000000}">
          <x14:formula1>
            <xm:f>Listados!$B$26:$B$27</xm:f>
          </x14:formula1>
          <xm:sqref>V82:V84 AB82:AB84 Z82:Z84 R82:R84 T82:T84 Z7:Z12 R7:R12 V7:V12 T7:T12 AB7:AB12 Z15:Z78 T15:T78 T333:T1048576 R15:R78 V15:V78 AB15:AB78 V89:V324 T89:T324 R89:R324 Z89:Z324 AB89:AB324</xm:sqref>
        </x14:dataValidation>
        <x14:dataValidation type="list" allowBlank="1" showInputMessage="1" showErrorMessage="1" xr:uid="{00000000-0002-0000-0100-000043000000}">
          <x14:formula1>
            <xm:f>Listados!$G$3:$G$7</xm:f>
          </x14:formula1>
          <xm:sqref>L7:L12 L79:L102 L121:L150 L235:L240 L259:L324</xm:sqref>
        </x14:dataValidation>
        <x14:dataValidation type="list" allowBlank="1" showInputMessage="1" showErrorMessage="1" xr:uid="{00000000-0002-0000-0100-000044000000}">
          <x14:formula1>
            <xm:f>Listados!$D$3:$D$8</xm:f>
          </x14:formula1>
          <xm:sqref>E7:E12 E255:E258 E26:E30 E35:E36 E42 E47:E48 E51:E54 E313:E324 E266:E306 E92:E96 E98:E108 E110:E144 E146:E150 E152:E156 E160:E162 E166:E168 E172:E174 E177:E180 E182:E186 E188:E192 E197:E198 E202:E204 E226:E228 E209:E210 E219:E222 E213:E216 E230:E234 E236:E240 E242:E246 E251:E252 E60 E263:E264</xm:sqref>
        </x14:dataValidation>
        <x14:dataValidation type="list" allowBlank="1" showInputMessage="1" showErrorMessage="1" xr:uid="{00000000-0002-0000-0100-000045000000}">
          <x14:formula1>
            <xm:f>Listados!$W$3:$W$7</xm:f>
          </x14:formula1>
          <xm:sqref>F242:F246 F27:F31 F35:F37 F313:F324 F21:F24 F112:F144 F60 F251:F252 F95:F102 F106:F108 F182:F192 F148:F150 F155:F156 F160:F162 F166:F168 F172:F174 F177:F180 F197:F198 F202:F204 F219:F223 F209:F210 F213:F216 F226:F240 F263:F306 F255:F258 F42:F54 F7:F13</xm:sqref>
        </x14:dataValidation>
        <x14:dataValidation type="list" allowBlank="1" showInputMessage="1" showErrorMessage="1" xr:uid="{00000000-0002-0000-0100-000046000000}">
          <x14:formula1>
            <xm:f>'C:\Users\dpyate\Downloads\[MC-FO-07 MAPA DE RIEGOS DEL PROCESO (1).xlsm]Listados'!#REF!</xm:f>
          </x14:formula1>
          <xm:sqref>Q31:Q34 Q37:Q41 H31:H34 H37:H41 F38:F41 F103 B25:B37 Q25:Q28 L25:L42 H25:H28 F25:F26 E25 E37:E41 E31:E34 F32:F34</xm:sqref>
        </x14:dataValidation>
        <x14:dataValidation type="list" allowBlank="1" showInputMessage="1" showErrorMessage="1" xr:uid="{00000000-0002-0000-0100-000047000000}">
          <x14:formula1>
            <xm:f>'C:\Users\dpyate\Downloads\[MC-FO-07 MAPA DE RIEGOS DEL PROCESO (1).xlsm]Corrupción'!#REF!</xm:f>
          </x14:formula1>
          <xm:sqref>J25:J42</xm:sqref>
        </x14:dataValidation>
        <x14:dataValidation type="list" allowBlank="1" showInputMessage="1" showErrorMessage="1" xr:uid="{00000000-0002-0000-0100-000048000000}">
          <x14:formula1>
            <xm:f>'C:\Users\ana sofia\Downloads\[RIESGO GRUPO GESTIÓN DOCUMENTAL (1).xlsx]Listados'!#REF!</xm:f>
          </x14:formula1>
          <xm:sqref>B43:B49 Q43:Q46 Q49:Q50 L43:L54 E43:E46 E49:E50</xm:sqref>
        </x14:dataValidation>
        <x14:dataValidation type="list" allowBlank="1" showInputMessage="1" showErrorMessage="1" xr:uid="{00000000-0002-0000-0100-000049000000}">
          <x14:formula1>
            <xm:f>'C:\Users\ana sofia\Downloads\[RIESGO GRUPO GESTIÓN DOCUMENTAL (1).xlsx]Corrupción'!#REF!</xm:f>
          </x14:formula1>
          <xm:sqref>J43:J54</xm:sqref>
        </x14:dataValidation>
        <x14:dataValidation type="list" allowBlank="1" showInputMessage="1" showErrorMessage="1" xr:uid="{00000000-0002-0000-0100-00004A000000}">
          <x14:formula1>
            <xm:f>'C:\Users\Miguelito\Downloads\[Matriz de riesgos_Proceso GG_23062020.xlsx]Listados'!#REF!</xm:f>
          </x14:formula1>
          <xm:sqref>B55:B60 Q55:Q59 L55:L60</xm:sqref>
        </x14:dataValidation>
        <x14:dataValidation type="list" allowBlank="1" showInputMessage="1" showErrorMessage="1" xr:uid="{00000000-0002-0000-0100-00004B000000}">
          <x14:formula1>
            <xm:f>'C:\Users\Miguelito\Downloads\[Matriz de riesgos_Proceso GG_23062020.xlsx]Corrupción'!#REF!</xm:f>
          </x14:formula1>
          <xm:sqref>J55:J60</xm:sqref>
        </x14:dataValidation>
        <x14:dataValidation type="list" allowBlank="1" showInputMessage="1" showErrorMessage="1" xr:uid="{00000000-0002-0000-0100-00004C000000}">
          <x14:formula1>
            <xm:f>'C:\Users\Miguelito\Downloads\[DDDOJ 190820 Formato de Riesgos VF1 (2).xlsx]Listados'!#REF!</xm:f>
          </x14:formula1>
          <xm:sqref>Q67:Q69 Q61:Q64 B61:B78 L61:L78 Q73:Q74</xm:sqref>
        </x14:dataValidation>
        <x14:dataValidation type="list" allowBlank="1" showInputMessage="1" showErrorMessage="1" xr:uid="{00000000-0002-0000-0100-00004E000000}">
          <x14:formula1>
            <xm:f>'C:\Users\Miguelito\Downloads\[Mapa de Riesgos_PROCESO SEGUIMIENTO Y EVALUACIÓN (1) (1).xlsx]Listados'!#REF!</xm:f>
          </x14:formula1>
          <xm:sqref>Q85:Q87 Q79:Q81</xm:sqref>
        </x14:dataValidation>
        <x14:dataValidation type="list" allowBlank="1" showInputMessage="1" showErrorMessage="1" xr:uid="{00000000-0002-0000-0100-000050000000}">
          <x14:formula1>
            <xm:f>'C:\Users\Miguelito\Downloads\[Riesgos de Formulación (1).xlsx]Listados'!#REF!</xm:f>
          </x14:formula1>
          <xm:sqref>B91:B96 H91:H93 E91 F91:F94</xm:sqref>
        </x14:dataValidation>
        <x14:dataValidation type="list" allowBlank="1" showInputMessage="1" showErrorMessage="1" xr:uid="{00000000-0002-0000-0100-000052000000}">
          <x14:formula1>
            <xm:f>'C:\Users\Miguelito\Downloads\[Riesgos Contractual (1).xlsx]Listados'!#REF!</xm:f>
          </x14:formula1>
          <xm:sqref>E97</xm:sqref>
        </x14:dataValidation>
        <x14:dataValidation type="list" allowBlank="1" showInputMessage="1" showErrorMessage="1" xr:uid="{00000000-0002-0000-0100-000054000000}">
          <x14:formula1>
            <xm:f>'C:\Users\Miguelito\Downloads\[Riesgos Prensa (1).xlsx]Listados'!#REF!</xm:f>
          </x14:formula1>
          <xm:sqref>B103:B108 Q103:Q105 F104:F105 H103:H105</xm:sqref>
        </x14:dataValidation>
        <x14:dataValidation type="list" allowBlank="1" showInputMessage="1" showErrorMessage="1" xr:uid="{00000000-0002-0000-0100-000055000000}">
          <x14:formula1>
            <xm:f>'C:\Users\Miguelito\Downloads\[Riesgos Prensa (1).xlsx]Corrupción'!#REF!</xm:f>
          </x14:formula1>
          <xm:sqref>J103:J108</xm:sqref>
        </x14:dataValidation>
        <x14:dataValidation type="list" allowBlank="1" showInputMessage="1" showErrorMessage="1" xr:uid="{00000000-0002-0000-0100-000056000000}">
          <x14:formula1>
            <xm:f>'C:\Users\Miguelito\Downloads\[Riesgos Proyectos Normativos (1).xlsx]Listados'!#REF!</xm:f>
          </x14:formula1>
          <xm:sqref>E109 Q109:Q111 L103:L114 F109:F111 H109:H111</xm:sqref>
        </x14:dataValidation>
        <x14:dataValidation type="list" allowBlank="1" showInputMessage="1" showErrorMessage="1" xr:uid="{00000000-0002-0000-0100-000057000000}">
          <x14:formula1>
            <xm:f>'C:\Users\Miguelito\Downloads\[Riesgos Proyectos Normativos (1).xlsx]Corrupción'!#REF!</xm:f>
          </x14:formula1>
          <xm:sqref>J109:J114</xm:sqref>
        </x14:dataValidation>
        <x14:dataValidation type="list" allowBlank="1" showInputMessage="1" showErrorMessage="1" xr:uid="{00000000-0002-0000-0100-000058000000}">
          <x14:formula1>
            <xm:f>'C:\Users\Miguelito\Downloads\[10. Mapa de Riesgos Gestión Juridica.xlsx]Listados'!#REF!</xm:f>
          </x14:formula1>
          <xm:sqref>H139:H140 Q115:Q118 Q121:Q123 Q127:Q130 Q133:Q135 Q139:Q141 H127:H130 Q151:Q153 L115:L120 H115:H117 H121:H123 H133:H135 Q145:Q148</xm:sqref>
        </x14:dataValidation>
        <x14:dataValidation type="list" allowBlank="1" showInputMessage="1" showErrorMessage="1" xr:uid="{00000000-0002-0000-0100-000059000000}">
          <x14:formula1>
            <xm:f>'C:\Users\Miguelito\Downloads\[10. Mapa de Riesgos Gestión Juridica.xlsx]Corrupción'!#REF!</xm:f>
          </x14:formula1>
          <xm:sqref>J115:J120</xm:sqref>
        </x14:dataValidation>
        <x14:dataValidation type="list" allowBlank="1" showInputMessage="1" showErrorMessage="1" xr:uid="{00000000-0002-0000-0100-00005A000000}">
          <x14:formula1>
            <xm:f>'C:\Users\Miguelito\Downloads\[Gestión contra la criminalidad_SRPA-SPenintenciarioC.xlsx]Listados'!#REF!</xm:f>
          </x14:formula1>
          <xm:sqref>B145:B156 E151 H145:H147 H151:H154 F145:F147 F151:F154 E145 L151:L156</xm:sqref>
        </x14:dataValidation>
        <x14:dataValidation type="list" allowBlank="1" showInputMessage="1" showErrorMessage="1" xr:uid="{00000000-0002-0000-0100-00005B000000}">
          <x14:formula1>
            <xm:f>'C:\Users\Miguelito\Downloads\[Gestión contra la criminalidad_SRPA-SPenintenciarioC.xlsx]Corrupción'!#REF!</xm:f>
          </x14:formula1>
          <xm:sqref>J145:J156</xm:sqref>
        </x14:dataValidation>
        <x14:dataValidation type="list" allowBlank="1" showInputMessage="1" showErrorMessage="1" xr:uid="{00000000-0002-0000-0100-00005C000000}">
          <x14:formula1>
            <xm:f>'C:\Users\Miguelito\Downloads\[Riesgos Drogas_1 (1).xlsx]Listados'!#REF!</xm:f>
          </x14:formula1>
          <xm:sqref>Q157:Q158 Q163 E181:F181 Q181 L157:L186 H157:H159 H163:H165 H169:H171 E175:F176 Q169:Q170 E157:F159 E163:F165 E169:F171</xm:sqref>
        </x14:dataValidation>
        <x14:dataValidation type="list" allowBlank="1" showInputMessage="1" showErrorMessage="1" xr:uid="{00000000-0002-0000-0100-00005D000000}">
          <x14:formula1>
            <xm:f>'C:\Users\Miguelito\Downloads\[Riesgos Drogas_1 (1).xlsx]Corrupción'!#REF!</xm:f>
          </x14:formula1>
          <xm:sqref>J157:J186</xm:sqref>
        </x14:dataValidation>
        <x14:dataValidation type="list" allowBlank="1" showInputMessage="1" showErrorMessage="1" xr:uid="{00000000-0002-0000-0100-000060000000}">
          <x14:formula1>
            <xm:f>'C:\Users\Miguelito\Downloads\[Riesgos Gestión Humana (1).xlsx]Listados'!#REF!</xm:f>
          </x14:formula1>
          <xm:sqref>E187 E193:F196 Q187:Q190 Q193:Q197 L187:L198 H187:H190 H193:H196</xm:sqref>
        </x14:dataValidation>
        <x14:dataValidation type="list" allowBlank="1" showInputMessage="1" showErrorMessage="1" xr:uid="{00000000-0002-0000-0100-000061000000}">
          <x14:formula1>
            <xm:f>'C:\Users\Miguelito\Downloads\[Riesgos Gestión Humana (1).xlsx]Corrupción'!#REF!</xm:f>
          </x14:formula1>
          <xm:sqref>J187:J198</xm:sqref>
        </x14:dataValidation>
        <x14:dataValidation type="list" allowBlank="1" showInputMessage="1" showErrorMessage="1" xr:uid="{00000000-0002-0000-0100-000062000000}">
          <x14:formula1>
            <xm:f>'C:\Users\Miguelito\Downloads\[Formato matriz de riesgos_Gestión Mejora Institucional_071020.xlsx]Listados'!#REF!</xm:f>
          </x14:formula1>
          <xm:sqref>Q223:Q224 Q200:Q201 H223:H225 F224:F225 B223:B228 H201 L223:L228 E223:E225 E200:F201</xm:sqref>
        </x14:dataValidation>
        <x14:dataValidation type="list" allowBlank="1" showInputMessage="1" showErrorMessage="1" xr:uid="{00000000-0002-0000-0100-000064000000}">
          <x14:formula1>
            <xm:f>'C:\Users\Miguelito\Downloads\[PLANES Formato de Riesgos VF1.xlsx]Listados'!#REF!</xm:f>
          </x14:formula1>
          <xm:sqref>E229 H232 Q229:Q232 L229:L234 H213:H214 Q214</xm:sqref>
        </x14:dataValidation>
        <x14:dataValidation type="list" allowBlank="1" showInputMessage="1" showErrorMessage="1" xr:uid="{00000000-0002-0000-0100-000065000000}">
          <x14:formula1>
            <xm:f>'C:\Users\Miguelito\Downloads\[PLANES Formato de Riesgos VF1.xlsx]Corrupción'!#REF!</xm:f>
          </x14:formula1>
          <xm:sqref>J229:J234</xm:sqref>
        </x14:dataValidation>
        <x14:dataValidation type="list" allowBlank="1" showInputMessage="1" showErrorMessage="1" xr:uid="{00000000-0002-0000-0100-000066000000}">
          <x14:formula1>
            <xm:f>'C:\Users\Miguelito\Downloads\[Riesgos Gestión Humana oct 2020 (1).xlsx]Listados'!#REF!</xm:f>
          </x14:formula1>
          <xm:sqref>E199:F199 E205:F208 E211:F212 E217:F218 Q199 Q205:Q208 Q217:Q218 L199:L222 H199:H200 H205:H208 H211:H212 H217:H218 Q211:Q213</xm:sqref>
        </x14:dataValidation>
        <x14:dataValidation type="list" allowBlank="1" showInputMessage="1" showErrorMessage="1" xr:uid="{00000000-0002-0000-0100-000067000000}">
          <x14:formula1>
            <xm:f>'C:\Users\Miguelito\Downloads\[Riesgos Gestión Humana oct 2020 (1).xlsx]Corrupción'!#REF!</xm:f>
          </x14:formula1>
          <xm:sqref>J199:J222</xm:sqref>
        </x14:dataValidation>
        <x14:dataValidation type="list" allowBlank="1" showInputMessage="1" showErrorMessage="1" xr:uid="{00000000-0002-0000-0100-000068000000}">
          <x14:formula1>
            <xm:f>'https://minjusticiagovco-my.sharepoint.com/personal/mjrodriguez_minjusticia_gov_co/Documents/MATRIZ DE RIESGOS/VIGENCIA 2021/SEGUNDO CUATRIMESTRE/SEGUIMIENTO MATRIZ DE RIESGO/[Riesgos OAP (1).xlsx]Listados'!#REF!</xm:f>
          </x14:formula1>
          <xm:sqref>E235</xm:sqref>
        </x14:dataValidation>
        <x14:dataValidation type="list" allowBlank="1" showInputMessage="1" showErrorMessage="1" xr:uid="{00000000-0002-0000-0100-000069000000}">
          <x14:formula1>
            <xm:f>'https://minjusticiagovco-my.sharepoint.com/personal/mjrodriguez_minjusticia_gov_co/Documents/MATRIZ DE RIESGOS/VIGENCIA 2021/SEGUNDO CUATRIMESTRE/SEGUIMIENTO MATRIZ DE RIESGO/[Mapa de Riesgos DIRECCIONAMIENTO (3).xlsx]Listados'!#REF!</xm:f>
          </x14:formula1>
          <xm:sqref>H229:H231 H235:H238 Q235:Q238</xm:sqref>
        </x14:dataValidation>
        <x14:dataValidation type="list" allowBlank="1" showInputMessage="1" showErrorMessage="1" xr:uid="{00000000-0002-0000-0100-000063000000}">
          <x14:formula1>
            <xm:f>'C:\Users\Miguelito\Downloads\[Formato matriz de riesgos_Gestión Mejora Institucional_071020.xlsx]Corrupción'!#REF!</xm:f>
          </x14:formula1>
          <xm:sqref>J223:J228</xm:sqref>
        </x14:dataValidation>
        <x14:dataValidation type="list" allowBlank="1" showInputMessage="1" showErrorMessage="1" xr:uid="{00000000-0002-0000-0100-00004D000000}">
          <x14:formula1>
            <xm:f>'C:\Users\Miguelito\Downloads\[DDDOJ 190820 Formato de Riesgos VF1 (2).xlsx]Corrupción'!#REF!</xm:f>
          </x14:formula1>
          <xm:sqref>J61:J78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448EB-3925-4684-820B-AF38D7092479}">
  <dimension ref="E5:G16"/>
  <sheetViews>
    <sheetView workbookViewId="0">
      <selection activeCell="F16" sqref="F16"/>
    </sheetView>
  </sheetViews>
  <sheetFormatPr baseColWidth="10" defaultRowHeight="14.5"/>
  <cols>
    <col min="5" max="5" width="15.08984375" bestFit="1" customWidth="1"/>
    <col min="6" max="6" width="23.6328125" customWidth="1"/>
  </cols>
  <sheetData>
    <row r="5" spans="5:7">
      <c r="E5" s="877">
        <v>18000000</v>
      </c>
    </row>
    <row r="6" spans="5:7">
      <c r="E6" s="877">
        <f>+E5*19%</f>
        <v>3420000</v>
      </c>
    </row>
    <row r="7" spans="5:7">
      <c r="E7" s="878">
        <f>SUM(E5:E6)</f>
        <v>21420000</v>
      </c>
      <c r="F7" s="878">
        <f>+E7*5</f>
        <v>107100000</v>
      </c>
      <c r="G7" t="s">
        <v>1810</v>
      </c>
    </row>
    <row r="8" spans="5:7">
      <c r="F8" s="878">
        <v>92083333</v>
      </c>
      <c r="G8" t="s">
        <v>1811</v>
      </c>
    </row>
    <row r="9" spans="5:7">
      <c r="F9" s="878">
        <f>SUM(F7:F8)</f>
        <v>199183333</v>
      </c>
      <c r="G9" t="s">
        <v>1812</v>
      </c>
    </row>
    <row r="16" spans="5:7">
      <c r="F16" s="877">
        <f>18000000*4</f>
        <v>72000000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T366"/>
  <sheetViews>
    <sheetView showGridLines="0" topLeftCell="Y88" zoomScale="80" zoomScaleNormal="80" zoomScaleSheetLayoutView="50" workbookViewId="0">
      <selection activeCell="AG93" sqref="AG93"/>
    </sheetView>
  </sheetViews>
  <sheetFormatPr baseColWidth="10" defaultColWidth="11.453125" defaultRowHeight="14.5"/>
  <cols>
    <col min="1" max="1" width="4.81640625" style="19" customWidth="1"/>
    <col min="2" max="2" width="33.54296875" style="194" customWidth="1"/>
    <col min="3" max="3" width="38.26953125" style="15" customWidth="1"/>
    <col min="4" max="4" width="28.81640625" style="20" customWidth="1"/>
    <col min="5" max="5" width="25.54296875" style="20" customWidth="1"/>
    <col min="6" max="6" width="27.26953125" style="20" customWidth="1"/>
    <col min="7" max="7" width="27.7265625" style="15" customWidth="1"/>
    <col min="8" max="8" width="16.1796875" style="15" customWidth="1"/>
    <col min="9" max="9" width="17" style="15" customWidth="1"/>
    <col min="10" max="10" width="15.54296875" style="15" customWidth="1"/>
    <col min="11" max="11" width="17.26953125" style="15" customWidth="1"/>
    <col min="12" max="12" width="14.453125" style="15" customWidth="1"/>
    <col min="13" max="13" width="16.81640625" style="15" customWidth="1"/>
    <col min="14" max="14" width="15" style="15" customWidth="1"/>
    <col min="15" max="15" width="24.81640625" style="15" customWidth="1"/>
    <col min="16" max="16" width="13.7265625" style="15" customWidth="1"/>
    <col min="17" max="17" width="15.1796875" style="15" customWidth="1"/>
    <col min="18" max="18" width="19.54296875" style="15" customWidth="1"/>
    <col min="19" max="19" width="17.81640625" style="15" customWidth="1"/>
    <col min="20" max="20" width="13" style="15" customWidth="1"/>
    <col min="21" max="21" width="13.26953125" style="15" customWidth="1"/>
    <col min="22" max="22" width="16" style="15" customWidth="1"/>
    <col min="23" max="23" width="14.453125" style="15" customWidth="1"/>
    <col min="24" max="24" width="13" style="15" customWidth="1"/>
    <col min="25" max="25" width="13.7265625" style="15" customWidth="1"/>
    <col min="26" max="26" width="13.26953125" style="15" customWidth="1"/>
    <col min="27" max="27" width="16" style="15" customWidth="1"/>
    <col min="28" max="28" width="9.26953125" style="21" customWidth="1"/>
    <col min="29" max="29" width="10.453125" style="21" hidden="1" customWidth="1"/>
    <col min="30" max="30" width="12.453125" style="21" customWidth="1"/>
    <col min="31" max="31" width="10.453125" style="21" hidden="1" customWidth="1"/>
    <col min="32" max="32" width="10.1796875" style="21" customWidth="1"/>
    <col min="33" max="33" width="91.54296875" style="15" customWidth="1"/>
    <col min="34" max="34" width="52.7265625" style="15" customWidth="1"/>
    <col min="35" max="35" width="16.453125" style="15" customWidth="1"/>
    <col min="36" max="36" width="20" style="15" customWidth="1"/>
    <col min="37" max="37" width="20" style="15" hidden="1" customWidth="1"/>
    <col min="38" max="38" width="22.81640625" style="15" customWidth="1"/>
    <col min="39" max="39" width="22.81640625" style="15" hidden="1" customWidth="1"/>
    <col min="40" max="40" width="28.1796875" style="15" bestFit="1" customWidth="1"/>
    <col min="41" max="41" width="28.1796875" style="15" hidden="1" customWidth="1"/>
    <col min="42" max="42" width="34.7265625" style="15" bestFit="1" customWidth="1"/>
    <col min="43" max="43" width="34.7265625" style="15" hidden="1" customWidth="1"/>
    <col min="44" max="44" width="24.1796875" style="15" bestFit="1" customWidth="1"/>
    <col min="45" max="45" width="24.1796875" style="15" hidden="1" customWidth="1"/>
    <col min="46" max="46" width="27.81640625" style="15" bestFit="1" customWidth="1"/>
    <col min="47" max="47" width="27.81640625" style="15" hidden="1" customWidth="1"/>
    <col min="48" max="48" width="23.81640625" style="15" bestFit="1" customWidth="1"/>
    <col min="49" max="49" width="23.81640625" style="15" hidden="1" customWidth="1"/>
    <col min="50" max="50" width="15.81640625" style="15" customWidth="1"/>
    <col min="51" max="51" width="18.54296875" style="15" customWidth="1"/>
    <col min="52" max="53" width="20.54296875" style="15" customWidth="1"/>
    <col min="54" max="56" width="15.54296875" style="15" customWidth="1"/>
    <col min="57" max="57" width="18.81640625" style="15" customWidth="1"/>
    <col min="58" max="58" width="15.54296875" style="15" customWidth="1"/>
    <col min="59" max="59" width="15.54296875" style="15" hidden="1" customWidth="1"/>
    <col min="60" max="60" width="22.26953125" style="21" customWidth="1"/>
    <col min="61" max="61" width="11.81640625" style="21" customWidth="1"/>
    <col min="62" max="62" width="19.453125" style="15" customWidth="1"/>
    <col min="63" max="63" width="17.1796875" style="15" customWidth="1"/>
  </cols>
  <sheetData>
    <row r="1" spans="1:72" ht="45.75" customHeight="1" thickTop="1">
      <c r="A1" s="744" t="s">
        <v>128</v>
      </c>
      <c r="B1" s="745"/>
      <c r="C1" s="745"/>
      <c r="D1" s="745"/>
      <c r="E1" s="750" t="s">
        <v>468</v>
      </c>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row>
    <row r="2" spans="1:72" ht="45.75" customHeight="1">
      <c r="A2" s="746"/>
      <c r="B2" s="747"/>
      <c r="C2" s="747"/>
      <c r="D2" s="747"/>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750"/>
      <c r="BK2" s="750"/>
    </row>
    <row r="3" spans="1:72" ht="33.75" customHeight="1" thickBot="1">
      <c r="A3" s="748"/>
      <c r="B3" s="749"/>
      <c r="C3" s="749"/>
      <c r="D3" s="749"/>
      <c r="E3" s="751" t="s">
        <v>130</v>
      </c>
      <c r="F3" s="751"/>
      <c r="G3" s="162">
        <v>2020</v>
      </c>
      <c r="H3" s="752"/>
      <c r="I3" s="752"/>
      <c r="J3" s="752"/>
      <c r="K3" s="752"/>
      <c r="L3" s="753"/>
      <c r="M3" s="753"/>
      <c r="N3" s="753"/>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row>
    <row r="4" spans="1:72" ht="29.25" customHeight="1" thickBot="1">
      <c r="A4" s="737" t="s">
        <v>131</v>
      </c>
      <c r="B4" s="738"/>
      <c r="C4" s="738"/>
      <c r="D4" s="738"/>
      <c r="E4" s="738"/>
      <c r="F4" s="738"/>
      <c r="G4" s="738"/>
      <c r="H4" s="741" t="s">
        <v>469</v>
      </c>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1"/>
      <c r="AI4" s="741"/>
      <c r="AJ4" s="741"/>
      <c r="AK4" s="741"/>
      <c r="AL4" s="741"/>
      <c r="AM4" s="741"/>
      <c r="AN4" s="741"/>
      <c r="AO4" s="741"/>
      <c r="AP4" s="741"/>
      <c r="AQ4" s="741"/>
      <c r="AR4" s="741"/>
      <c r="AS4" s="741"/>
      <c r="AT4" s="741"/>
      <c r="AU4" s="741"/>
      <c r="AV4" s="741"/>
      <c r="AW4" s="741"/>
      <c r="AX4" s="741"/>
      <c r="AY4" s="741"/>
      <c r="AZ4" s="741"/>
      <c r="BA4" s="741"/>
      <c r="BB4" s="741"/>
      <c r="BC4" s="741"/>
      <c r="BD4" s="741"/>
      <c r="BE4" s="741"/>
      <c r="BF4" s="741"/>
      <c r="BG4" s="741"/>
      <c r="BH4" s="741"/>
      <c r="BI4" s="741"/>
      <c r="BJ4" s="741"/>
      <c r="BK4" s="742" t="s">
        <v>134</v>
      </c>
    </row>
    <row r="5" spans="1:72" ht="40.5" customHeight="1" thickBot="1">
      <c r="A5" s="739"/>
      <c r="B5" s="740"/>
      <c r="C5" s="740"/>
      <c r="D5" s="740"/>
      <c r="E5" s="740"/>
      <c r="F5" s="740"/>
      <c r="G5" s="740"/>
      <c r="H5" s="741" t="s">
        <v>470</v>
      </c>
      <c r="I5" s="741"/>
      <c r="J5" s="741"/>
      <c r="K5" s="741"/>
      <c r="L5" s="741"/>
      <c r="M5" s="741"/>
      <c r="N5" s="741"/>
      <c r="O5" s="741"/>
      <c r="P5" s="741"/>
      <c r="Q5" s="741"/>
      <c r="R5" s="741"/>
      <c r="S5" s="741"/>
      <c r="T5" s="741"/>
      <c r="U5" s="741"/>
      <c r="V5" s="741"/>
      <c r="W5" s="741"/>
      <c r="X5" s="741"/>
      <c r="Y5" s="741"/>
      <c r="Z5" s="741"/>
      <c r="AA5" s="741"/>
      <c r="AB5" s="742" t="s">
        <v>135</v>
      </c>
      <c r="AC5" s="742"/>
      <c r="AD5" s="742"/>
      <c r="AE5" s="742"/>
      <c r="AF5" s="742"/>
      <c r="AG5" s="789" t="s">
        <v>136</v>
      </c>
      <c r="AH5" s="790"/>
      <c r="AI5" s="791"/>
      <c r="AJ5" s="789" t="s">
        <v>137</v>
      </c>
      <c r="AK5" s="790"/>
      <c r="AL5" s="790"/>
      <c r="AM5" s="790"/>
      <c r="AN5" s="790"/>
      <c r="AO5" s="790"/>
      <c r="AP5" s="790"/>
      <c r="AQ5" s="790"/>
      <c r="AR5" s="790"/>
      <c r="AS5" s="790"/>
      <c r="AT5" s="790"/>
      <c r="AU5" s="790"/>
      <c r="AV5" s="790"/>
      <c r="AW5" s="790"/>
      <c r="AX5" s="790"/>
      <c r="AY5" s="791"/>
      <c r="AZ5" s="743" t="s">
        <v>113</v>
      </c>
      <c r="BA5" s="792"/>
      <c r="BB5" s="743" t="s">
        <v>138</v>
      </c>
      <c r="BC5" s="788"/>
      <c r="BD5" s="743" t="s">
        <v>139</v>
      </c>
      <c r="BE5" s="788"/>
      <c r="BF5" s="134"/>
      <c r="BG5" s="134"/>
      <c r="BH5" s="742" t="s">
        <v>140</v>
      </c>
      <c r="BI5" s="742"/>
      <c r="BJ5" s="742"/>
      <c r="BK5" s="743"/>
      <c r="BL5" s="793" t="s">
        <v>141</v>
      </c>
      <c r="BM5" s="794"/>
      <c r="BN5" s="795"/>
      <c r="BO5" s="793" t="s">
        <v>142</v>
      </c>
      <c r="BP5" s="794"/>
      <c r="BQ5" s="795"/>
      <c r="BR5" s="793" t="s">
        <v>143</v>
      </c>
      <c r="BS5" s="794"/>
      <c r="BT5" s="795"/>
    </row>
    <row r="6" spans="1:72" ht="127.5" customHeight="1" thickBot="1">
      <c r="A6" s="16" t="s">
        <v>144</v>
      </c>
      <c r="B6" s="17" t="s">
        <v>145</v>
      </c>
      <c r="C6" s="17" t="s">
        <v>146</v>
      </c>
      <c r="D6" s="17" t="s">
        <v>147</v>
      </c>
      <c r="E6" s="17" t="s">
        <v>150</v>
      </c>
      <c r="F6" s="17" t="s">
        <v>151</v>
      </c>
      <c r="G6" s="17" t="s">
        <v>152</v>
      </c>
      <c r="H6" s="136" t="s">
        <v>471</v>
      </c>
      <c r="I6" s="136" t="s">
        <v>472</v>
      </c>
      <c r="J6" s="136" t="s">
        <v>473</v>
      </c>
      <c r="K6" s="136" t="s">
        <v>474</v>
      </c>
      <c r="L6" s="136" t="s">
        <v>475</v>
      </c>
      <c r="M6" s="136" t="s">
        <v>476</v>
      </c>
      <c r="N6" s="136" t="s">
        <v>477</v>
      </c>
      <c r="O6" s="136" t="s">
        <v>478</v>
      </c>
      <c r="P6" s="136" t="s">
        <v>479</v>
      </c>
      <c r="Q6" s="136" t="s">
        <v>480</v>
      </c>
      <c r="R6" s="136" t="s">
        <v>481</v>
      </c>
      <c r="S6" s="136" t="s">
        <v>482</v>
      </c>
      <c r="T6" s="136" t="s">
        <v>483</v>
      </c>
      <c r="U6" s="136" t="s">
        <v>484</v>
      </c>
      <c r="V6" s="136" t="s">
        <v>485</v>
      </c>
      <c r="W6" s="136" t="s">
        <v>486</v>
      </c>
      <c r="X6" s="136" t="s">
        <v>487</v>
      </c>
      <c r="Y6" s="136" t="s">
        <v>488</v>
      </c>
      <c r="Z6" s="136" t="s">
        <v>489</v>
      </c>
      <c r="AA6" s="136" t="s">
        <v>490</v>
      </c>
      <c r="AB6" s="135" t="s">
        <v>153</v>
      </c>
      <c r="AC6" s="135"/>
      <c r="AD6" s="135" t="s">
        <v>154</v>
      </c>
      <c r="AE6" s="135"/>
      <c r="AF6" s="135" t="s">
        <v>155</v>
      </c>
      <c r="AG6" s="136" t="s">
        <v>156</v>
      </c>
      <c r="AH6" s="136" t="s">
        <v>157</v>
      </c>
      <c r="AI6" s="136" t="s">
        <v>158</v>
      </c>
      <c r="AJ6" s="136" t="s">
        <v>159</v>
      </c>
      <c r="AK6" s="136"/>
      <c r="AL6" s="136" t="s">
        <v>160</v>
      </c>
      <c r="AM6" s="136"/>
      <c r="AN6" s="136" t="s">
        <v>161</v>
      </c>
      <c r="AO6" s="136"/>
      <c r="AP6" s="136" t="s">
        <v>162</v>
      </c>
      <c r="AQ6" s="136"/>
      <c r="AR6" s="136" t="s">
        <v>163</v>
      </c>
      <c r="AS6" s="136"/>
      <c r="AT6" s="136" t="s">
        <v>164</v>
      </c>
      <c r="AU6" s="136"/>
      <c r="AV6" s="136" t="s">
        <v>165</v>
      </c>
      <c r="AW6" s="136"/>
      <c r="AX6" s="136" t="s">
        <v>166</v>
      </c>
      <c r="AY6" s="136" t="s">
        <v>167</v>
      </c>
      <c r="AZ6" s="136" t="s">
        <v>168</v>
      </c>
      <c r="BA6" s="136" t="s">
        <v>169</v>
      </c>
      <c r="BB6" s="136" t="s">
        <v>170</v>
      </c>
      <c r="BC6" s="136" t="s">
        <v>171</v>
      </c>
      <c r="BD6" s="136" t="s">
        <v>172</v>
      </c>
      <c r="BE6" s="136" t="s">
        <v>173</v>
      </c>
      <c r="BF6" s="136" t="s">
        <v>174</v>
      </c>
      <c r="BG6" s="136"/>
      <c r="BH6" s="136" t="s">
        <v>153</v>
      </c>
      <c r="BI6" s="136" t="s">
        <v>154</v>
      </c>
      <c r="BJ6" s="136" t="s">
        <v>155</v>
      </c>
      <c r="BK6" s="163" t="s">
        <v>176</v>
      </c>
      <c r="BL6" s="796"/>
      <c r="BM6" s="797"/>
      <c r="BN6" s="798"/>
      <c r="BO6" s="796"/>
      <c r="BP6" s="797"/>
      <c r="BQ6" s="798"/>
      <c r="BR6" s="796"/>
      <c r="BS6" s="797"/>
      <c r="BT6" s="798"/>
    </row>
    <row r="7" spans="1:72" ht="60.75" customHeight="1" thickBot="1">
      <c r="A7" s="723">
        <v>1</v>
      </c>
      <c r="B7" s="726" t="s">
        <v>68</v>
      </c>
      <c r="C7" s="729" t="str">
        <f>IFERROR(VLOOKUP(B7,Listados!B$3:C$20,2,FALSE),"")</f>
        <v>Gestión contra la Criminalidad y la Reincidencia</v>
      </c>
      <c r="D7" s="732" t="s">
        <v>491</v>
      </c>
      <c r="E7" s="105"/>
      <c r="F7" s="109"/>
      <c r="G7" s="735" t="s">
        <v>492</v>
      </c>
      <c r="H7" s="763" t="s">
        <v>116</v>
      </c>
      <c r="I7" s="763" t="s">
        <v>116</v>
      </c>
      <c r="J7" s="763" t="s">
        <v>116</v>
      </c>
      <c r="K7" s="763" t="s">
        <v>116</v>
      </c>
      <c r="L7" s="763" t="s">
        <v>116</v>
      </c>
      <c r="M7" s="763" t="s">
        <v>120</v>
      </c>
      <c r="N7" s="763" t="s">
        <v>116</v>
      </c>
      <c r="O7" s="763" t="s">
        <v>120</v>
      </c>
      <c r="P7" s="763" t="s">
        <v>120</v>
      </c>
      <c r="Q7" s="763" t="s">
        <v>116</v>
      </c>
      <c r="R7" s="763" t="s">
        <v>116</v>
      </c>
      <c r="S7" s="763" t="s">
        <v>116</v>
      </c>
      <c r="T7" s="763" t="s">
        <v>120</v>
      </c>
      <c r="U7" s="763" t="s">
        <v>116</v>
      </c>
      <c r="V7" s="763" t="s">
        <v>116</v>
      </c>
      <c r="W7" s="763" t="s">
        <v>120</v>
      </c>
      <c r="X7" s="763" t="s">
        <v>120</v>
      </c>
      <c r="Y7" s="763" t="s">
        <v>116</v>
      </c>
      <c r="Z7" s="762" t="s">
        <v>120</v>
      </c>
      <c r="AA7" s="721">
        <f>COUNTIF(H7:Z12, "SI")</f>
        <v>12</v>
      </c>
      <c r="AB7" s="762" t="s">
        <v>21</v>
      </c>
      <c r="AC7" s="719">
        <f>+VLOOKUP(AB7,Listados!$K$8:$L$12,2,0)</f>
        <v>1</v>
      </c>
      <c r="AD7" s="721" t="str">
        <f>+IF(OR(AA7=1,AA7&lt;=5),"Moderado",IF(OR(AA7=6,AA7&lt;=11),"Mayor","Catastrófico"))</f>
        <v>Catastrófico</v>
      </c>
      <c r="AE7" s="719">
        <f>+VLOOKUP(AD7,Listados!K13:L17,2,0)</f>
        <v>5</v>
      </c>
      <c r="AF7" s="714" t="str">
        <f>IF(AND(AB7&lt;&gt;"",AD7&lt;&gt;""),VLOOKUP(AB7&amp;AD7,Listados!$M$3:$N$27,2,FALSE),"")</f>
        <v>Extremo</v>
      </c>
      <c r="AG7" s="52"/>
      <c r="AH7" s="164"/>
      <c r="AI7" s="143"/>
      <c r="AJ7" s="140"/>
      <c r="AK7" s="28" t="str">
        <f>+IF(AJ7="si",15,"")</f>
        <v/>
      </c>
      <c r="AL7" s="140"/>
      <c r="AM7" s="28" t="str">
        <f>+IF(AL7="si",15,"")</f>
        <v/>
      </c>
      <c r="AN7" s="140"/>
      <c r="AO7" s="28" t="str">
        <f>+IF(AN7="si",15,"")</f>
        <v/>
      </c>
      <c r="AP7" s="140"/>
      <c r="AQ7" s="28" t="str">
        <f>+IF(AP7="Preventivo",15,IF(AP7="Detectivo",10,""))</f>
        <v/>
      </c>
      <c r="AR7" s="140"/>
      <c r="AS7" s="28" t="str">
        <f>+IF(AR7="si",15,"")</f>
        <v/>
      </c>
      <c r="AT7" s="140"/>
      <c r="AU7" s="28" t="str">
        <f>+IF(AT7="si",15,"")</f>
        <v/>
      </c>
      <c r="AV7" s="140"/>
      <c r="AW7" s="28" t="str">
        <f>+IF(AV7="Completa",10,IF(AV7="Incompleta",5,""))</f>
        <v/>
      </c>
      <c r="AX7" s="111" t="str">
        <f>IF((SUM(AK7,AM7,AO7,AQ7,AS7,AU7,AW7)=0),"",(SUM(AK7,AM7,AO7,AQ7,AS7,AU7,AW7)))</f>
        <v/>
      </c>
      <c r="AY7" s="111" t="str">
        <f>IF(AX7&lt;=85,"Débil",IF(AX7&lt;=95,"Moderado",IF(AX7=100,"Fuerte","")))</f>
        <v/>
      </c>
      <c r="AZ7" s="141"/>
      <c r="BA7" s="153" t="str">
        <f>+IF(AZ7="siempre","Fuerte",IF(AZ7="Algunas veces","Moderado","Débil"))</f>
        <v>Débil</v>
      </c>
      <c r="BB7" s="22" t="str">
        <f>IFERROR(VLOOKUP((CONCATENATE(AY7,BA7)),Listados!$U$3:$V$11,2,FALSE),"")</f>
        <v/>
      </c>
      <c r="BC7" s="111">
        <f>IF(ISBLANK(BB7),"",IF(BB7="Débil", 0, IF(BB7="Moderado",50,100)))</f>
        <v>100</v>
      </c>
      <c r="BD7" s="716">
        <f>AVERAGE(BC7:BC12)</f>
        <v>100</v>
      </c>
      <c r="BE7" s="718" t="str">
        <f>IF(BD7&lt;=50, "Débil", IF(BD7&lt;=99,"Moderado","Fuerte"))</f>
        <v>Fuerte</v>
      </c>
      <c r="BF7" s="716">
        <f>+IF(BE7="Fuerte",2,IF(BE7="Moderado",1,0))</f>
        <v>2</v>
      </c>
      <c r="BG7" s="716">
        <f>+AC7-BF7</f>
        <v>-1</v>
      </c>
      <c r="BH7" s="712" t="str">
        <f>+VLOOKUP(BG7,Listados!$J$18:$K$24,2,TRUE)</f>
        <v>Rara Vez</v>
      </c>
      <c r="BI7" s="714" t="str">
        <f>IF(ISBLANK(AD7),"",AD7)</f>
        <v>Catastrófico</v>
      </c>
      <c r="BJ7" s="712" t="str">
        <f>IF(AND(BH7&lt;&gt;"",BI7&lt;&gt;""),VLOOKUP(BH7&amp;BI7,Listados!$M$3:$N$27,2,FALSE),"")</f>
        <v>Extremo</v>
      </c>
      <c r="BK7" s="712" t="str">
        <f>+VLOOKUP(BJ7,Listados!$P$3:$Q$6,2,FALSE)</f>
        <v>Evitar el riesgo</v>
      </c>
      <c r="BL7" s="799"/>
      <c r="BM7" s="800"/>
      <c r="BN7" s="801"/>
      <c r="BO7" s="799"/>
      <c r="BP7" s="800"/>
      <c r="BQ7" s="801"/>
      <c r="BR7" s="799"/>
      <c r="BS7" s="800"/>
      <c r="BT7" s="801"/>
    </row>
    <row r="8" spans="1:72" ht="116.5" thickBot="1">
      <c r="A8" s="724"/>
      <c r="B8" s="727"/>
      <c r="C8" s="730"/>
      <c r="D8" s="733"/>
      <c r="E8" s="161" t="s">
        <v>493</v>
      </c>
      <c r="F8" s="160" t="s">
        <v>16</v>
      </c>
      <c r="G8" s="736"/>
      <c r="H8" s="764"/>
      <c r="I8" s="764"/>
      <c r="J8" s="764"/>
      <c r="K8" s="764"/>
      <c r="L8" s="764"/>
      <c r="M8" s="764"/>
      <c r="N8" s="764"/>
      <c r="O8" s="764"/>
      <c r="P8" s="764"/>
      <c r="Q8" s="764"/>
      <c r="R8" s="764"/>
      <c r="S8" s="764"/>
      <c r="T8" s="764"/>
      <c r="U8" s="764"/>
      <c r="V8" s="764"/>
      <c r="W8" s="764"/>
      <c r="X8" s="764"/>
      <c r="Y8" s="764"/>
      <c r="Z8" s="727"/>
      <c r="AA8" s="722"/>
      <c r="AB8" s="727"/>
      <c r="AC8" s="720"/>
      <c r="AD8" s="722" t="str">
        <f>+IF(OR(AB8=1,AB8&lt;=5),"Moderado",IF(OR(AB8=6,AB8&lt;=11),"Mayor","Catastrófico"))</f>
        <v>Moderado</v>
      </c>
      <c r="AE8" s="720"/>
      <c r="AF8" s="715"/>
      <c r="AG8" s="104" t="s">
        <v>494</v>
      </c>
      <c r="AH8" s="164" t="s">
        <v>493</v>
      </c>
      <c r="AI8" s="143" t="s">
        <v>20</v>
      </c>
      <c r="AJ8" s="140"/>
      <c r="AK8" s="28" t="str">
        <f t="shared" ref="AK8:AK71" si="0">+IF(AJ8="si",15,"")</f>
        <v/>
      </c>
      <c r="AL8" s="140"/>
      <c r="AM8" s="28" t="str">
        <f t="shared" ref="AM8:AM71" si="1">+IF(AL8="si",15,"")</f>
        <v/>
      </c>
      <c r="AN8" s="140"/>
      <c r="AO8" s="28" t="str">
        <f t="shared" ref="AO8:AO71" si="2">+IF(AN8="si",15,"")</f>
        <v/>
      </c>
      <c r="AP8" s="140"/>
      <c r="AQ8" s="28" t="str">
        <f t="shared" ref="AQ8:AQ71" si="3">+IF(AP8="Preventivo",15,IF(AP8="Detectivo",10,""))</f>
        <v/>
      </c>
      <c r="AR8" s="140"/>
      <c r="AS8" s="28" t="str">
        <f t="shared" ref="AS8:AS71" si="4">+IF(AR8="si",15,"")</f>
        <v/>
      </c>
      <c r="AT8" s="140"/>
      <c r="AU8" s="28" t="str">
        <f t="shared" ref="AU8:AU71" si="5">+IF(AT8="si",15,"")</f>
        <v/>
      </c>
      <c r="AV8" s="140"/>
      <c r="AW8" s="28" t="str">
        <f t="shared" ref="AW8:AW71" si="6">+IF(AV8="Completa",10,IF(AV8="Incompleta",5,""))</f>
        <v/>
      </c>
      <c r="AX8" s="111" t="str">
        <f t="shared" ref="AX8:AX71" si="7">IF((SUM(AK8,AM8,AO8,AQ8,AS8,AU8,AW8)=0),"",(SUM(AK8,AM8,AO8,AQ8,AS8,AU8,AW8)))</f>
        <v/>
      </c>
      <c r="AY8" s="111" t="str">
        <f t="shared" ref="AY8:AY71" si="8">IF(AX8&lt;=85,"Débil",IF(AX8&lt;=95,"Moderado",IF(AX8=100,"Fuerte","")))</f>
        <v/>
      </c>
      <c r="AZ8" s="141"/>
      <c r="BA8" s="153" t="str">
        <f>+IF(AZ8="siempre","Fuerte",IF(AZ8="Algunas veces","Moderado","Débil"))</f>
        <v>Débil</v>
      </c>
      <c r="BB8" s="22" t="str">
        <f>IFERROR(VLOOKUP((CONCATENATE(AY8,BA8)),Listados!$U$3:$V$11,2,FALSE),"")</f>
        <v/>
      </c>
      <c r="BC8" s="111">
        <f>IF(ISBLANK(BB8),"",IF(BB8="Débil", 0, IF(BB8="Moderado",50,100)))</f>
        <v>100</v>
      </c>
      <c r="BD8" s="717"/>
      <c r="BE8" s="761"/>
      <c r="BF8" s="717"/>
      <c r="BG8" s="717"/>
      <c r="BH8" s="713"/>
      <c r="BI8" s="715"/>
      <c r="BJ8" s="713"/>
      <c r="BK8" s="713"/>
      <c r="BL8" s="799"/>
      <c r="BM8" s="800"/>
      <c r="BN8" s="801"/>
      <c r="BO8" s="799"/>
      <c r="BP8" s="800"/>
      <c r="BQ8" s="801"/>
      <c r="BR8" s="799"/>
      <c r="BS8" s="800"/>
      <c r="BT8" s="801"/>
    </row>
    <row r="9" spans="1:72" ht="35.25" customHeight="1" thickBot="1">
      <c r="A9" s="724"/>
      <c r="B9" s="727"/>
      <c r="C9" s="730"/>
      <c r="D9" s="733"/>
      <c r="E9" s="161"/>
      <c r="F9" s="160"/>
      <c r="G9" s="736"/>
      <c r="H9" s="764"/>
      <c r="I9" s="764"/>
      <c r="J9" s="764"/>
      <c r="K9" s="764"/>
      <c r="L9" s="764"/>
      <c r="M9" s="764"/>
      <c r="N9" s="764"/>
      <c r="O9" s="764"/>
      <c r="P9" s="764"/>
      <c r="Q9" s="764"/>
      <c r="R9" s="764"/>
      <c r="S9" s="764"/>
      <c r="T9" s="764"/>
      <c r="U9" s="764"/>
      <c r="V9" s="764"/>
      <c r="W9" s="764"/>
      <c r="X9" s="764"/>
      <c r="Y9" s="764"/>
      <c r="Z9" s="727"/>
      <c r="AA9" s="722"/>
      <c r="AB9" s="727"/>
      <c r="AC9" s="720"/>
      <c r="AD9" s="722" t="str">
        <f>+IF(OR(AB9=1,AB9&lt;=5),"Moderado",IF(OR(AB9=6,AB9&lt;=11),"Mayor","Catastrófico"))</f>
        <v>Moderado</v>
      </c>
      <c r="AE9" s="720"/>
      <c r="AF9" s="715"/>
      <c r="AG9" s="52"/>
      <c r="AH9" s="164"/>
      <c r="AI9" s="143"/>
      <c r="AJ9" s="140"/>
      <c r="AK9" s="28" t="str">
        <f t="shared" si="0"/>
        <v/>
      </c>
      <c r="AL9" s="140"/>
      <c r="AM9" s="28" t="str">
        <f t="shared" si="1"/>
        <v/>
      </c>
      <c r="AN9" s="140"/>
      <c r="AO9" s="28" t="str">
        <f t="shared" si="2"/>
        <v/>
      </c>
      <c r="AP9" s="140"/>
      <c r="AQ9" s="28" t="str">
        <f t="shared" si="3"/>
        <v/>
      </c>
      <c r="AR9" s="140"/>
      <c r="AS9" s="28" t="str">
        <f t="shared" si="4"/>
        <v/>
      </c>
      <c r="AT9" s="140"/>
      <c r="AU9" s="28" t="str">
        <f t="shared" si="5"/>
        <v/>
      </c>
      <c r="AV9" s="140"/>
      <c r="AW9" s="28" t="str">
        <f t="shared" si="6"/>
        <v/>
      </c>
      <c r="AX9" s="111" t="str">
        <f>IF((SUM(AK9,AM9,AO9,AQ9,AS9,AU9,AW9)=0),"",(SUM(AK9,AM9,AO9,AQ9,AS9,AU9,AW9)))</f>
        <v/>
      </c>
      <c r="AY9" s="111" t="str">
        <f t="shared" si="8"/>
        <v/>
      </c>
      <c r="AZ9" s="141"/>
      <c r="BA9" s="153" t="str">
        <f t="shared" ref="BA9:BA71" si="9">+IF(AZ9="siempre","Fuerte",IF(AZ9="Algunas veces","Moderado","Débil"))</f>
        <v>Débil</v>
      </c>
      <c r="BB9" s="22" t="str">
        <f>IFERROR(VLOOKUP((CONCATENATE(AY9,BA9)),Listados!$U$3:$V$11,2,FALSE),"")</f>
        <v/>
      </c>
      <c r="BC9" s="111">
        <f t="shared" ref="BC9:BC71" si="10">IF(ISBLANK(BB9),"",IF(BB9="Débil", 0, IF(BB9="Moderado",50,100)))</f>
        <v>100</v>
      </c>
      <c r="BD9" s="717"/>
      <c r="BE9" s="761"/>
      <c r="BF9" s="717"/>
      <c r="BG9" s="717"/>
      <c r="BH9" s="713"/>
      <c r="BI9" s="715"/>
      <c r="BJ9" s="713"/>
      <c r="BK9" s="713"/>
      <c r="BL9" s="799"/>
      <c r="BM9" s="800"/>
      <c r="BN9" s="801"/>
      <c r="BO9" s="799"/>
      <c r="BP9" s="800"/>
      <c r="BQ9" s="801"/>
      <c r="BR9" s="799"/>
      <c r="BS9" s="800"/>
      <c r="BT9" s="801"/>
    </row>
    <row r="10" spans="1:72" ht="78.75" customHeight="1" thickBot="1">
      <c r="A10" s="724"/>
      <c r="B10" s="727"/>
      <c r="C10" s="730"/>
      <c r="D10" s="733"/>
      <c r="E10" s="755"/>
      <c r="F10" s="758"/>
      <c r="G10" s="736"/>
      <c r="H10" s="764"/>
      <c r="I10" s="764"/>
      <c r="J10" s="764"/>
      <c r="K10" s="764"/>
      <c r="L10" s="764"/>
      <c r="M10" s="764"/>
      <c r="N10" s="764"/>
      <c r="O10" s="764"/>
      <c r="P10" s="764"/>
      <c r="Q10" s="764"/>
      <c r="R10" s="764"/>
      <c r="S10" s="764"/>
      <c r="T10" s="764"/>
      <c r="U10" s="764"/>
      <c r="V10" s="764"/>
      <c r="W10" s="764"/>
      <c r="X10" s="764"/>
      <c r="Y10" s="764"/>
      <c r="Z10" s="727"/>
      <c r="AA10" s="722"/>
      <c r="AB10" s="727"/>
      <c r="AC10" s="720"/>
      <c r="AD10" s="722" t="str">
        <f>+IF(OR(AB10=1,AB10&lt;=5),"Moderado",IF(OR(AB10=6,AB10&lt;=11),"Mayor","Catastrófico"))</f>
        <v>Moderado</v>
      </c>
      <c r="AE10" s="720"/>
      <c r="AF10" s="715"/>
      <c r="AG10" s="52"/>
      <c r="AH10" s="164"/>
      <c r="AI10" s="143"/>
      <c r="AJ10" s="140"/>
      <c r="AK10" s="28" t="str">
        <f t="shared" si="0"/>
        <v/>
      </c>
      <c r="AL10" s="140"/>
      <c r="AM10" s="28" t="str">
        <f t="shared" si="1"/>
        <v/>
      </c>
      <c r="AN10" s="140"/>
      <c r="AO10" s="28" t="str">
        <f t="shared" si="2"/>
        <v/>
      </c>
      <c r="AP10" s="140"/>
      <c r="AQ10" s="28" t="str">
        <f t="shared" si="3"/>
        <v/>
      </c>
      <c r="AR10" s="140"/>
      <c r="AS10" s="28" t="str">
        <f t="shared" si="4"/>
        <v/>
      </c>
      <c r="AT10" s="140"/>
      <c r="AU10" s="28" t="str">
        <f t="shared" si="5"/>
        <v/>
      </c>
      <c r="AV10" s="140"/>
      <c r="AW10" s="28" t="str">
        <f t="shared" si="6"/>
        <v/>
      </c>
      <c r="AX10" s="111" t="str">
        <f t="shared" si="7"/>
        <v/>
      </c>
      <c r="AY10" s="111" t="str">
        <f t="shared" si="8"/>
        <v/>
      </c>
      <c r="AZ10" s="141"/>
      <c r="BA10" s="153" t="str">
        <f t="shared" si="9"/>
        <v>Débil</v>
      </c>
      <c r="BB10" s="22" t="str">
        <f>IFERROR(VLOOKUP((CONCATENATE(AY10,BA10)),Listados!$U$3:$V$11,2,FALSE),"")</f>
        <v/>
      </c>
      <c r="BC10" s="111">
        <f t="shared" si="10"/>
        <v>100</v>
      </c>
      <c r="BD10" s="717"/>
      <c r="BE10" s="761"/>
      <c r="BF10" s="717"/>
      <c r="BG10" s="717"/>
      <c r="BH10" s="713"/>
      <c r="BI10" s="715"/>
      <c r="BJ10" s="713"/>
      <c r="BK10" s="713"/>
      <c r="BL10" s="799"/>
      <c r="BM10" s="800"/>
      <c r="BN10" s="801"/>
      <c r="BO10" s="799"/>
      <c r="BP10" s="800"/>
      <c r="BQ10" s="801"/>
      <c r="BR10" s="799"/>
      <c r="BS10" s="800"/>
      <c r="BT10" s="801"/>
    </row>
    <row r="11" spans="1:72" ht="26.25" customHeight="1" thickBot="1">
      <c r="A11" s="724"/>
      <c r="B11" s="727"/>
      <c r="C11" s="730"/>
      <c r="D11" s="733"/>
      <c r="E11" s="756"/>
      <c r="F11" s="759"/>
      <c r="G11" s="736"/>
      <c r="H11" s="764"/>
      <c r="I11" s="764"/>
      <c r="J11" s="764"/>
      <c r="K11" s="764"/>
      <c r="L11" s="764"/>
      <c r="M11" s="764"/>
      <c r="N11" s="764"/>
      <c r="O11" s="764"/>
      <c r="P11" s="764"/>
      <c r="Q11" s="764"/>
      <c r="R11" s="764"/>
      <c r="S11" s="764"/>
      <c r="T11" s="764"/>
      <c r="U11" s="764"/>
      <c r="V11" s="764"/>
      <c r="W11" s="764"/>
      <c r="X11" s="764"/>
      <c r="Y11" s="764"/>
      <c r="Z11" s="727"/>
      <c r="AA11" s="722"/>
      <c r="AB11" s="727"/>
      <c r="AC11" s="720"/>
      <c r="AD11" s="722" t="str">
        <f>+IF(OR(AB11=1,AB11&lt;=5),"Moderado",IF(OR(AB11=6,AB11&lt;=11),"Mayor","Catastrófico"))</f>
        <v>Moderado</v>
      </c>
      <c r="AE11" s="720"/>
      <c r="AF11" s="715"/>
      <c r="AG11" s="52"/>
      <c r="AH11" s="164"/>
      <c r="AI11" s="143"/>
      <c r="AJ11" s="140"/>
      <c r="AK11" s="28" t="str">
        <f t="shared" si="0"/>
        <v/>
      </c>
      <c r="AL11" s="140"/>
      <c r="AM11" s="28" t="str">
        <f t="shared" si="1"/>
        <v/>
      </c>
      <c r="AN11" s="140"/>
      <c r="AO11" s="28" t="str">
        <f t="shared" si="2"/>
        <v/>
      </c>
      <c r="AP11" s="140"/>
      <c r="AQ11" s="28" t="str">
        <f t="shared" si="3"/>
        <v/>
      </c>
      <c r="AR11" s="140"/>
      <c r="AS11" s="28" t="str">
        <f t="shared" si="4"/>
        <v/>
      </c>
      <c r="AT11" s="140"/>
      <c r="AU11" s="28" t="str">
        <f t="shared" si="5"/>
        <v/>
      </c>
      <c r="AV11" s="140"/>
      <c r="AW11" s="28" t="str">
        <f t="shared" si="6"/>
        <v/>
      </c>
      <c r="AX11" s="111" t="str">
        <f t="shared" si="7"/>
        <v/>
      </c>
      <c r="AY11" s="111" t="str">
        <f t="shared" si="8"/>
        <v/>
      </c>
      <c r="AZ11" s="141"/>
      <c r="BA11" s="153" t="str">
        <f t="shared" si="9"/>
        <v>Débil</v>
      </c>
      <c r="BB11" s="22" t="str">
        <f>IFERROR(VLOOKUP((CONCATENATE(AY11,BA11)),Listados!$U$3:$V$11,2,FALSE),"")</f>
        <v/>
      </c>
      <c r="BC11" s="111">
        <f t="shared" si="10"/>
        <v>100</v>
      </c>
      <c r="BD11" s="717"/>
      <c r="BE11" s="761"/>
      <c r="BF11" s="717"/>
      <c r="BG11" s="717"/>
      <c r="BH11" s="713"/>
      <c r="BI11" s="715"/>
      <c r="BJ11" s="713"/>
      <c r="BK11" s="713"/>
      <c r="BL11" s="799"/>
      <c r="BM11" s="800"/>
      <c r="BN11" s="801"/>
      <c r="BO11" s="799"/>
      <c r="BP11" s="800"/>
      <c r="BQ11" s="801"/>
      <c r="BR11" s="799"/>
      <c r="BS11" s="800"/>
      <c r="BT11" s="801"/>
    </row>
    <row r="12" spans="1:72" ht="33.75" customHeight="1" thickBot="1">
      <c r="A12" s="725"/>
      <c r="B12" s="728"/>
      <c r="C12" s="731"/>
      <c r="D12" s="734"/>
      <c r="E12" s="757"/>
      <c r="F12" s="760"/>
      <c r="G12" s="736"/>
      <c r="H12" s="764"/>
      <c r="I12" s="764"/>
      <c r="J12" s="764"/>
      <c r="K12" s="764"/>
      <c r="L12" s="764"/>
      <c r="M12" s="764"/>
      <c r="N12" s="764"/>
      <c r="O12" s="764"/>
      <c r="P12" s="764"/>
      <c r="Q12" s="764"/>
      <c r="R12" s="764"/>
      <c r="S12" s="764"/>
      <c r="T12" s="764"/>
      <c r="U12" s="764"/>
      <c r="V12" s="764"/>
      <c r="W12" s="764"/>
      <c r="X12" s="764"/>
      <c r="Y12" s="764"/>
      <c r="Z12" s="727"/>
      <c r="AA12" s="722"/>
      <c r="AB12" s="727"/>
      <c r="AC12" s="721"/>
      <c r="AD12" s="722" t="str">
        <f>+IF(OR(AB12=1,AB12&lt;=5),"Moderado",IF(OR(AB12=6,AB12&lt;=11),"Mayor","Catastrófico"))</f>
        <v>Moderado</v>
      </c>
      <c r="AE12" s="721"/>
      <c r="AF12" s="715"/>
      <c r="AG12" s="52"/>
      <c r="AH12" s="164"/>
      <c r="AI12" s="143"/>
      <c r="AJ12" s="140"/>
      <c r="AK12" s="28" t="str">
        <f t="shared" si="0"/>
        <v/>
      </c>
      <c r="AL12" s="140"/>
      <c r="AM12" s="28" t="str">
        <f t="shared" si="1"/>
        <v/>
      </c>
      <c r="AN12" s="140"/>
      <c r="AO12" s="28" t="str">
        <f t="shared" si="2"/>
        <v/>
      </c>
      <c r="AP12" s="140"/>
      <c r="AQ12" s="28" t="str">
        <f t="shared" si="3"/>
        <v/>
      </c>
      <c r="AR12" s="140"/>
      <c r="AS12" s="28" t="str">
        <f t="shared" si="4"/>
        <v/>
      </c>
      <c r="AT12" s="140"/>
      <c r="AU12" s="28" t="str">
        <f t="shared" si="5"/>
        <v/>
      </c>
      <c r="AV12" s="140"/>
      <c r="AW12" s="28" t="str">
        <f t="shared" si="6"/>
        <v/>
      </c>
      <c r="AX12" s="111" t="str">
        <f t="shared" si="7"/>
        <v/>
      </c>
      <c r="AY12" s="111" t="str">
        <f t="shared" si="8"/>
        <v/>
      </c>
      <c r="AZ12" s="141"/>
      <c r="BA12" s="153" t="str">
        <f t="shared" si="9"/>
        <v>Débil</v>
      </c>
      <c r="BB12" s="22" t="str">
        <f>IFERROR(VLOOKUP((CONCATENATE(AY12,BA12)),Listados!$U$3:$V$11,2,FALSE),"")</f>
        <v/>
      </c>
      <c r="BC12" s="111">
        <f t="shared" si="10"/>
        <v>100</v>
      </c>
      <c r="BD12" s="718"/>
      <c r="BE12" s="761"/>
      <c r="BF12" s="718"/>
      <c r="BG12" s="718"/>
      <c r="BH12" s="714"/>
      <c r="BI12" s="715"/>
      <c r="BJ12" s="714"/>
      <c r="BK12" s="714"/>
      <c r="BL12" s="799"/>
      <c r="BM12" s="800"/>
      <c r="BN12" s="801"/>
      <c r="BO12" s="799"/>
      <c r="BP12" s="800"/>
      <c r="BQ12" s="801"/>
      <c r="BR12" s="799"/>
      <c r="BS12" s="800"/>
      <c r="BT12" s="801"/>
    </row>
    <row r="13" spans="1:72" ht="25.5" customHeight="1" thickBot="1">
      <c r="A13" s="723">
        <v>2</v>
      </c>
      <c r="B13" s="726" t="s">
        <v>86</v>
      </c>
      <c r="C13" s="729" t="str">
        <f>IFERROR(VLOOKUP(B13,Listados!B$3:C$20,2,FALSE),"")</f>
        <v>Establecer los procedimientos, las estancias y responsables para el reconocimiento, registro y revelación de todos los hechos, transacciones y operaciones financieras, sociales, económicas y ambientales en los que tome parte el Ministerio de Justicia y del Derecho, con el fin de brindar información confiable, relevante y comprensible para la toma de decisiones.</v>
      </c>
      <c r="D13" s="732" t="s">
        <v>495</v>
      </c>
      <c r="E13" s="105"/>
      <c r="F13" s="18"/>
      <c r="G13" s="735" t="s">
        <v>496</v>
      </c>
      <c r="H13" s="763" t="s">
        <v>116</v>
      </c>
      <c r="I13" s="763" t="s">
        <v>116</v>
      </c>
      <c r="J13" s="763" t="s">
        <v>116</v>
      </c>
      <c r="K13" s="763" t="s">
        <v>120</v>
      </c>
      <c r="L13" s="763" t="s">
        <v>116</v>
      </c>
      <c r="M13" s="763" t="s">
        <v>120</v>
      </c>
      <c r="N13" s="763" t="s">
        <v>116</v>
      </c>
      <c r="O13" s="763" t="s">
        <v>120</v>
      </c>
      <c r="P13" s="763" t="s">
        <v>120</v>
      </c>
      <c r="Q13" s="763" t="s">
        <v>116</v>
      </c>
      <c r="R13" s="763" t="s">
        <v>116</v>
      </c>
      <c r="S13" s="763" t="s">
        <v>116</v>
      </c>
      <c r="T13" s="763" t="s">
        <v>116</v>
      </c>
      <c r="U13" s="763" t="s">
        <v>116</v>
      </c>
      <c r="V13" s="763" t="s">
        <v>120</v>
      </c>
      <c r="W13" s="763" t="s">
        <v>120</v>
      </c>
      <c r="X13" s="763" t="s">
        <v>120</v>
      </c>
      <c r="Y13" s="763" t="s">
        <v>120</v>
      </c>
      <c r="Z13" s="762" t="s">
        <v>120</v>
      </c>
      <c r="AA13" s="721">
        <f>COUNTIF(H13:Z18, "SI")</f>
        <v>10</v>
      </c>
      <c r="AB13" s="762" t="s">
        <v>21</v>
      </c>
      <c r="AC13" s="719">
        <f>+VLOOKUP(AB13,Listados!$K$8:$L$12,2,0)</f>
        <v>1</v>
      </c>
      <c r="AD13" s="721" t="str">
        <f>+IF(OR(AA13=1,AA13&lt;=5),"Moderado",IF(OR(AA13=6,AA13&lt;=11),"Mayor","Catastrófico"))</f>
        <v>Mayor</v>
      </c>
      <c r="AE13" s="719" t="e">
        <f>+VLOOKUP(AD13,Listados!K19:L23,2,0)</f>
        <v>#N/A</v>
      </c>
      <c r="AF13" s="714" t="str">
        <f>IF(AND(AB13&lt;&gt;"",AD13&lt;&gt;""),VLOOKUP(AB13&amp;AD13,Listados!$M$3:$N$27,2,FALSE),"")</f>
        <v>Alto</v>
      </c>
      <c r="AG13" s="106"/>
      <c r="AH13" s="145"/>
      <c r="AI13" s="145"/>
      <c r="AJ13" s="145"/>
      <c r="AK13" s="28" t="str">
        <f t="shared" si="0"/>
        <v/>
      </c>
      <c r="AL13" s="145"/>
      <c r="AM13" s="28" t="str">
        <f t="shared" si="1"/>
        <v/>
      </c>
      <c r="AN13" s="140"/>
      <c r="AO13" s="28" t="str">
        <f t="shared" si="2"/>
        <v/>
      </c>
      <c r="AP13" s="140"/>
      <c r="AQ13" s="28" t="str">
        <f t="shared" si="3"/>
        <v/>
      </c>
      <c r="AR13" s="140"/>
      <c r="AS13" s="28" t="str">
        <f t="shared" si="4"/>
        <v/>
      </c>
      <c r="AT13" s="140"/>
      <c r="AU13" s="28" t="str">
        <f t="shared" si="5"/>
        <v/>
      </c>
      <c r="AV13" s="140"/>
      <c r="AW13" s="28" t="str">
        <f t="shared" si="6"/>
        <v/>
      </c>
      <c r="AX13" s="111" t="str">
        <f t="shared" si="7"/>
        <v/>
      </c>
      <c r="AY13" s="111" t="str">
        <f t="shared" si="8"/>
        <v/>
      </c>
      <c r="AZ13" s="141"/>
      <c r="BA13" s="153" t="str">
        <f t="shared" si="9"/>
        <v>Débil</v>
      </c>
      <c r="BB13" s="22" t="str">
        <f>IFERROR(VLOOKUP((CONCATENATE(AY13,BA13)),Listados!$U$3:$V$11,2,FALSE),"")</f>
        <v/>
      </c>
      <c r="BC13" s="111">
        <f t="shared" si="10"/>
        <v>100</v>
      </c>
      <c r="BD13" s="716">
        <f>AVERAGE(BC13:BC18)</f>
        <v>100</v>
      </c>
      <c r="BE13" s="718" t="str">
        <f>IF(BD13&lt;=50, "Débil", IF(BD13&lt;=99,"Moderado","Fuerte"))</f>
        <v>Fuerte</v>
      </c>
      <c r="BF13" s="716">
        <f>+IF(BE13="Fuerte",2,IF(BE13="Moderado",1,0))</f>
        <v>2</v>
      </c>
      <c r="BG13" s="716">
        <f>+AC13-BF13</f>
        <v>-1</v>
      </c>
      <c r="BH13" s="712" t="str">
        <f>+VLOOKUP(BG13,Listados!$J$18:$K$24,2,TRUE)</f>
        <v>Rara Vez</v>
      </c>
      <c r="BI13" s="714" t="str">
        <f>IF(ISBLANK(AD13),"",AD13)</f>
        <v>Mayor</v>
      </c>
      <c r="BJ13" s="712" t="str">
        <f>IF(AND(BH13&lt;&gt;"",BI13&lt;&gt;""),VLOOKUP(BH13&amp;BI13,Listados!$M$3:$N$27,2,FALSE),"")</f>
        <v>Alto</v>
      </c>
      <c r="BK13" s="712" t="str">
        <f>+VLOOKUP(BJ13,Listados!$P$3:$Q$6,2,FALSE)</f>
        <v>Reducir el riesgo</v>
      </c>
      <c r="BL13" s="799"/>
      <c r="BM13" s="800"/>
      <c r="BN13" s="801"/>
      <c r="BO13" s="799"/>
      <c r="BP13" s="800"/>
      <c r="BQ13" s="801"/>
      <c r="BR13" s="799"/>
      <c r="BS13" s="800"/>
      <c r="BT13" s="801"/>
    </row>
    <row r="14" spans="1:72" ht="116.5" thickBot="1">
      <c r="A14" s="724"/>
      <c r="B14" s="727"/>
      <c r="C14" s="730"/>
      <c r="D14" s="733"/>
      <c r="E14" s="161" t="s">
        <v>497</v>
      </c>
      <c r="F14" s="160" t="s">
        <v>16</v>
      </c>
      <c r="G14" s="736"/>
      <c r="H14" s="764"/>
      <c r="I14" s="764"/>
      <c r="J14" s="764"/>
      <c r="K14" s="764"/>
      <c r="L14" s="764"/>
      <c r="M14" s="764"/>
      <c r="N14" s="764"/>
      <c r="O14" s="764"/>
      <c r="P14" s="764"/>
      <c r="Q14" s="764"/>
      <c r="R14" s="764"/>
      <c r="S14" s="764"/>
      <c r="T14" s="764"/>
      <c r="U14" s="764"/>
      <c r="V14" s="764"/>
      <c r="W14" s="764"/>
      <c r="X14" s="764"/>
      <c r="Y14" s="764"/>
      <c r="Z14" s="727"/>
      <c r="AA14" s="722"/>
      <c r="AB14" s="727"/>
      <c r="AC14" s="720"/>
      <c r="AD14" s="722" t="str">
        <f>+IF(OR(AB14=1,AB14&lt;=5),"Moderado",IF(OR(AB14=6,AB14&lt;=11),"Mayor","Catastrófico"))</f>
        <v>Moderado</v>
      </c>
      <c r="AE14" s="720"/>
      <c r="AF14" s="715"/>
      <c r="AG14" s="165" t="s">
        <v>498</v>
      </c>
      <c r="AH14" s="164" t="s">
        <v>497</v>
      </c>
      <c r="AI14" s="143" t="s">
        <v>20</v>
      </c>
      <c r="AJ14" s="145"/>
      <c r="AK14" s="28" t="str">
        <f t="shared" si="0"/>
        <v/>
      </c>
      <c r="AL14" s="145"/>
      <c r="AM14" s="28" t="str">
        <f t="shared" si="1"/>
        <v/>
      </c>
      <c r="AN14" s="140"/>
      <c r="AO14" s="28" t="str">
        <f t="shared" si="2"/>
        <v/>
      </c>
      <c r="AP14" s="140"/>
      <c r="AQ14" s="28" t="str">
        <f t="shared" si="3"/>
        <v/>
      </c>
      <c r="AR14" s="140"/>
      <c r="AS14" s="28" t="str">
        <f t="shared" si="4"/>
        <v/>
      </c>
      <c r="AT14" s="140"/>
      <c r="AU14" s="28" t="str">
        <f t="shared" si="5"/>
        <v/>
      </c>
      <c r="AV14" s="140"/>
      <c r="AW14" s="28" t="str">
        <f t="shared" si="6"/>
        <v/>
      </c>
      <c r="AX14" s="111" t="str">
        <f t="shared" si="7"/>
        <v/>
      </c>
      <c r="AY14" s="111" t="str">
        <f t="shared" si="8"/>
        <v/>
      </c>
      <c r="AZ14" s="141"/>
      <c r="BA14" s="153" t="str">
        <f t="shared" si="9"/>
        <v>Débil</v>
      </c>
      <c r="BB14" s="22" t="str">
        <f>IFERROR(VLOOKUP((CONCATENATE(AY14,BA14)),Listados!$U$3:$V$11,2,FALSE),"")</f>
        <v/>
      </c>
      <c r="BC14" s="111">
        <f t="shared" si="10"/>
        <v>100</v>
      </c>
      <c r="BD14" s="717"/>
      <c r="BE14" s="761"/>
      <c r="BF14" s="717"/>
      <c r="BG14" s="717"/>
      <c r="BH14" s="713"/>
      <c r="BI14" s="715"/>
      <c r="BJ14" s="713"/>
      <c r="BK14" s="713"/>
      <c r="BL14" s="799"/>
      <c r="BM14" s="800"/>
      <c r="BN14" s="801"/>
      <c r="BO14" s="799"/>
      <c r="BP14" s="800"/>
      <c r="BQ14" s="801"/>
      <c r="BR14" s="799"/>
      <c r="BS14" s="800"/>
      <c r="BT14" s="801"/>
    </row>
    <row r="15" spans="1:72" ht="160" thickBot="1">
      <c r="A15" s="724"/>
      <c r="B15" s="727"/>
      <c r="C15" s="730"/>
      <c r="D15" s="733"/>
      <c r="E15" s="161" t="s">
        <v>499</v>
      </c>
      <c r="F15" s="160" t="s">
        <v>16</v>
      </c>
      <c r="G15" s="736"/>
      <c r="H15" s="764"/>
      <c r="I15" s="764"/>
      <c r="J15" s="764"/>
      <c r="K15" s="764"/>
      <c r="L15" s="764"/>
      <c r="M15" s="764"/>
      <c r="N15" s="764"/>
      <c r="O15" s="764"/>
      <c r="P15" s="764"/>
      <c r="Q15" s="764"/>
      <c r="R15" s="764"/>
      <c r="S15" s="764"/>
      <c r="T15" s="764"/>
      <c r="U15" s="764"/>
      <c r="V15" s="764"/>
      <c r="W15" s="764"/>
      <c r="X15" s="764"/>
      <c r="Y15" s="764"/>
      <c r="Z15" s="727"/>
      <c r="AA15" s="722"/>
      <c r="AB15" s="727"/>
      <c r="AC15" s="720"/>
      <c r="AD15" s="722" t="str">
        <f>+IF(OR(AB15=1,AB15&lt;=5),"Moderado",IF(OR(AB15=6,AB15&lt;=11),"Mayor","Catastrófico"))</f>
        <v>Moderado</v>
      </c>
      <c r="AE15" s="720"/>
      <c r="AF15" s="715"/>
      <c r="AG15" s="165" t="s">
        <v>500</v>
      </c>
      <c r="AH15" s="164" t="s">
        <v>499</v>
      </c>
      <c r="AI15" s="143" t="s">
        <v>123</v>
      </c>
      <c r="AJ15" s="145"/>
      <c r="AK15" s="28" t="str">
        <f t="shared" si="0"/>
        <v/>
      </c>
      <c r="AL15" s="145"/>
      <c r="AM15" s="28" t="str">
        <f t="shared" si="1"/>
        <v/>
      </c>
      <c r="AN15" s="140"/>
      <c r="AO15" s="28" t="str">
        <f t="shared" si="2"/>
        <v/>
      </c>
      <c r="AP15" s="140"/>
      <c r="AQ15" s="28" t="str">
        <f t="shared" si="3"/>
        <v/>
      </c>
      <c r="AR15" s="140"/>
      <c r="AS15" s="28" t="str">
        <f t="shared" si="4"/>
        <v/>
      </c>
      <c r="AT15" s="140"/>
      <c r="AU15" s="28" t="str">
        <f t="shared" si="5"/>
        <v/>
      </c>
      <c r="AV15" s="140"/>
      <c r="AW15" s="28" t="str">
        <f t="shared" si="6"/>
        <v/>
      </c>
      <c r="AX15" s="111" t="str">
        <f t="shared" si="7"/>
        <v/>
      </c>
      <c r="AY15" s="111" t="str">
        <f t="shared" si="8"/>
        <v/>
      </c>
      <c r="AZ15" s="141"/>
      <c r="BA15" s="153" t="str">
        <f t="shared" si="9"/>
        <v>Débil</v>
      </c>
      <c r="BB15" s="22" t="str">
        <f>IFERROR(VLOOKUP((CONCATENATE(AY15,BA15)),Listados!$U$3:$V$11,2,FALSE),"")</f>
        <v/>
      </c>
      <c r="BC15" s="111">
        <f t="shared" si="10"/>
        <v>100</v>
      </c>
      <c r="BD15" s="717"/>
      <c r="BE15" s="761"/>
      <c r="BF15" s="717"/>
      <c r="BG15" s="717"/>
      <c r="BH15" s="713"/>
      <c r="BI15" s="715"/>
      <c r="BJ15" s="713"/>
      <c r="BK15" s="713"/>
      <c r="BL15" s="799"/>
      <c r="BM15" s="800"/>
      <c r="BN15" s="801"/>
      <c r="BO15" s="799"/>
      <c r="BP15" s="800"/>
      <c r="BQ15" s="801"/>
      <c r="BR15" s="799"/>
      <c r="BS15" s="800"/>
      <c r="BT15" s="801"/>
    </row>
    <row r="16" spans="1:72" ht="15" thickBot="1">
      <c r="A16" s="724"/>
      <c r="B16" s="727"/>
      <c r="C16" s="730"/>
      <c r="D16" s="733"/>
      <c r="E16" s="755"/>
      <c r="F16" s="769"/>
      <c r="G16" s="736"/>
      <c r="H16" s="764"/>
      <c r="I16" s="764"/>
      <c r="J16" s="764"/>
      <c r="K16" s="764"/>
      <c r="L16" s="764"/>
      <c r="M16" s="764"/>
      <c r="N16" s="764"/>
      <c r="O16" s="764"/>
      <c r="P16" s="764"/>
      <c r="Q16" s="764"/>
      <c r="R16" s="764"/>
      <c r="S16" s="764"/>
      <c r="T16" s="764"/>
      <c r="U16" s="764"/>
      <c r="V16" s="764"/>
      <c r="W16" s="764"/>
      <c r="X16" s="764"/>
      <c r="Y16" s="764"/>
      <c r="Z16" s="727"/>
      <c r="AA16" s="722"/>
      <c r="AB16" s="727"/>
      <c r="AC16" s="720"/>
      <c r="AD16" s="722" t="str">
        <f>+IF(OR(AB16=1,AB16&lt;=5),"Moderado",IF(OR(AB16=6,AB16&lt;=11),"Mayor","Catastrófico"))</f>
        <v>Moderado</v>
      </c>
      <c r="AE16" s="720"/>
      <c r="AF16" s="715"/>
      <c r="AG16" s="52"/>
      <c r="AH16" s="145"/>
      <c r="AI16" s="145"/>
      <c r="AJ16" s="145"/>
      <c r="AK16" s="28" t="str">
        <f t="shared" si="0"/>
        <v/>
      </c>
      <c r="AL16" s="145"/>
      <c r="AM16" s="28" t="str">
        <f t="shared" si="1"/>
        <v/>
      </c>
      <c r="AN16" s="140"/>
      <c r="AO16" s="28" t="str">
        <f t="shared" si="2"/>
        <v/>
      </c>
      <c r="AP16" s="140"/>
      <c r="AQ16" s="28" t="str">
        <f t="shared" si="3"/>
        <v/>
      </c>
      <c r="AR16" s="140"/>
      <c r="AS16" s="28" t="str">
        <f t="shared" si="4"/>
        <v/>
      </c>
      <c r="AT16" s="140"/>
      <c r="AU16" s="28" t="str">
        <f t="shared" si="5"/>
        <v/>
      </c>
      <c r="AV16" s="140"/>
      <c r="AW16" s="28" t="str">
        <f t="shared" si="6"/>
        <v/>
      </c>
      <c r="AX16" s="111" t="str">
        <f t="shared" si="7"/>
        <v/>
      </c>
      <c r="AY16" s="111" t="str">
        <f t="shared" si="8"/>
        <v/>
      </c>
      <c r="AZ16" s="141"/>
      <c r="BA16" s="153" t="str">
        <f t="shared" si="9"/>
        <v>Débil</v>
      </c>
      <c r="BB16" s="22" t="str">
        <f>IFERROR(VLOOKUP((CONCATENATE(AY16,BA16)),Listados!$U$3:$V$11,2,FALSE),"")</f>
        <v/>
      </c>
      <c r="BC16" s="111">
        <f t="shared" si="10"/>
        <v>100</v>
      </c>
      <c r="BD16" s="717"/>
      <c r="BE16" s="761"/>
      <c r="BF16" s="717"/>
      <c r="BG16" s="717"/>
      <c r="BH16" s="713"/>
      <c r="BI16" s="715"/>
      <c r="BJ16" s="713"/>
      <c r="BK16" s="713"/>
      <c r="BL16" s="799"/>
      <c r="BM16" s="800"/>
      <c r="BN16" s="801"/>
      <c r="BO16" s="799"/>
      <c r="BP16" s="800"/>
      <c r="BQ16" s="801"/>
      <c r="BR16" s="799"/>
      <c r="BS16" s="800"/>
      <c r="BT16" s="801"/>
    </row>
    <row r="17" spans="1:72" ht="15" thickBot="1">
      <c r="A17" s="724"/>
      <c r="B17" s="727"/>
      <c r="C17" s="730"/>
      <c r="D17" s="733"/>
      <c r="E17" s="756"/>
      <c r="F17" s="770"/>
      <c r="G17" s="736"/>
      <c r="H17" s="764"/>
      <c r="I17" s="764"/>
      <c r="J17" s="764"/>
      <c r="K17" s="764"/>
      <c r="L17" s="764"/>
      <c r="M17" s="764"/>
      <c r="N17" s="764"/>
      <c r="O17" s="764"/>
      <c r="P17" s="764"/>
      <c r="Q17" s="764"/>
      <c r="R17" s="764"/>
      <c r="S17" s="764"/>
      <c r="T17" s="764"/>
      <c r="U17" s="764"/>
      <c r="V17" s="764"/>
      <c r="W17" s="764"/>
      <c r="X17" s="764"/>
      <c r="Y17" s="764"/>
      <c r="Z17" s="727"/>
      <c r="AA17" s="722"/>
      <c r="AB17" s="727"/>
      <c r="AC17" s="720"/>
      <c r="AD17" s="722" t="str">
        <f>+IF(OR(AB17=1,AB17&lt;=5),"Moderado",IF(OR(AB17=6,AB17&lt;=11),"Mayor","Catastrófico"))</f>
        <v>Moderado</v>
      </c>
      <c r="AE17" s="720"/>
      <c r="AF17" s="715"/>
      <c r="AG17" s="52"/>
      <c r="AH17" s="145"/>
      <c r="AI17" s="145"/>
      <c r="AJ17" s="145"/>
      <c r="AK17" s="28" t="str">
        <f t="shared" si="0"/>
        <v/>
      </c>
      <c r="AL17" s="145"/>
      <c r="AM17" s="28" t="str">
        <f t="shared" si="1"/>
        <v/>
      </c>
      <c r="AN17" s="140"/>
      <c r="AO17" s="28" t="str">
        <f t="shared" si="2"/>
        <v/>
      </c>
      <c r="AP17" s="140"/>
      <c r="AQ17" s="28" t="str">
        <f t="shared" si="3"/>
        <v/>
      </c>
      <c r="AR17" s="140"/>
      <c r="AS17" s="28" t="str">
        <f t="shared" si="4"/>
        <v/>
      </c>
      <c r="AT17" s="140"/>
      <c r="AU17" s="28" t="str">
        <f t="shared" si="5"/>
        <v/>
      </c>
      <c r="AV17" s="140"/>
      <c r="AW17" s="28" t="str">
        <f t="shared" si="6"/>
        <v/>
      </c>
      <c r="AX17" s="111" t="str">
        <f t="shared" si="7"/>
        <v/>
      </c>
      <c r="AY17" s="111" t="str">
        <f t="shared" si="8"/>
        <v/>
      </c>
      <c r="AZ17" s="141"/>
      <c r="BA17" s="153" t="str">
        <f t="shared" si="9"/>
        <v>Débil</v>
      </c>
      <c r="BB17" s="22" t="str">
        <f>IFERROR(VLOOKUP((CONCATENATE(AY17,BA17)),Listados!$U$3:$V$11,2,FALSE),"")</f>
        <v/>
      </c>
      <c r="BC17" s="111">
        <f t="shared" si="10"/>
        <v>100</v>
      </c>
      <c r="BD17" s="717"/>
      <c r="BE17" s="761"/>
      <c r="BF17" s="717"/>
      <c r="BG17" s="717"/>
      <c r="BH17" s="713"/>
      <c r="BI17" s="715"/>
      <c r="BJ17" s="713"/>
      <c r="BK17" s="713"/>
      <c r="BL17" s="799"/>
      <c r="BM17" s="800"/>
      <c r="BN17" s="801"/>
      <c r="BO17" s="799"/>
      <c r="BP17" s="800"/>
      <c r="BQ17" s="801"/>
      <c r="BR17" s="799"/>
      <c r="BS17" s="800"/>
      <c r="BT17" s="801"/>
    </row>
    <row r="18" spans="1:72" ht="15" thickBot="1">
      <c r="A18" s="725"/>
      <c r="B18" s="728"/>
      <c r="C18" s="731"/>
      <c r="D18" s="734"/>
      <c r="E18" s="757"/>
      <c r="F18" s="771"/>
      <c r="G18" s="736"/>
      <c r="H18" s="764"/>
      <c r="I18" s="764"/>
      <c r="J18" s="764"/>
      <c r="K18" s="764"/>
      <c r="L18" s="764"/>
      <c r="M18" s="764"/>
      <c r="N18" s="764"/>
      <c r="O18" s="764"/>
      <c r="P18" s="764"/>
      <c r="Q18" s="764"/>
      <c r="R18" s="764"/>
      <c r="S18" s="764"/>
      <c r="T18" s="764"/>
      <c r="U18" s="764"/>
      <c r="V18" s="764"/>
      <c r="W18" s="764"/>
      <c r="X18" s="764"/>
      <c r="Y18" s="764"/>
      <c r="Z18" s="727"/>
      <c r="AA18" s="722"/>
      <c r="AB18" s="727"/>
      <c r="AC18" s="721"/>
      <c r="AD18" s="722" t="str">
        <f>+IF(OR(AB18=1,AB18&lt;=5),"Moderado",IF(OR(AB18=6,AB18&lt;=11),"Mayor","Catastrófico"))</f>
        <v>Moderado</v>
      </c>
      <c r="AE18" s="721"/>
      <c r="AF18" s="715"/>
      <c r="AG18" s="106"/>
      <c r="AH18" s="145"/>
      <c r="AI18" s="145"/>
      <c r="AJ18" s="145"/>
      <c r="AK18" s="28" t="str">
        <f t="shared" si="0"/>
        <v/>
      </c>
      <c r="AL18" s="145"/>
      <c r="AM18" s="28" t="str">
        <f t="shared" si="1"/>
        <v/>
      </c>
      <c r="AN18" s="140"/>
      <c r="AO18" s="28" t="str">
        <f t="shared" si="2"/>
        <v/>
      </c>
      <c r="AP18" s="140"/>
      <c r="AQ18" s="28" t="str">
        <f t="shared" si="3"/>
        <v/>
      </c>
      <c r="AR18" s="140"/>
      <c r="AS18" s="28" t="str">
        <f t="shared" si="4"/>
        <v/>
      </c>
      <c r="AT18" s="140"/>
      <c r="AU18" s="28" t="str">
        <f t="shared" si="5"/>
        <v/>
      </c>
      <c r="AV18" s="140"/>
      <c r="AW18" s="28" t="str">
        <f t="shared" si="6"/>
        <v/>
      </c>
      <c r="AX18" s="111" t="str">
        <f t="shared" si="7"/>
        <v/>
      </c>
      <c r="AY18" s="111" t="str">
        <f t="shared" si="8"/>
        <v/>
      </c>
      <c r="AZ18" s="141"/>
      <c r="BA18" s="153" t="str">
        <f t="shared" si="9"/>
        <v>Débil</v>
      </c>
      <c r="BB18" s="22" t="str">
        <f>IFERROR(VLOOKUP((CONCATENATE(AY18,BA18)),Listados!$U$3:$V$11,2,FALSE),"")</f>
        <v/>
      </c>
      <c r="BC18" s="111">
        <f t="shared" si="10"/>
        <v>100</v>
      </c>
      <c r="BD18" s="718"/>
      <c r="BE18" s="761"/>
      <c r="BF18" s="718"/>
      <c r="BG18" s="718"/>
      <c r="BH18" s="714"/>
      <c r="BI18" s="715"/>
      <c r="BJ18" s="714"/>
      <c r="BK18" s="714"/>
      <c r="BL18" s="799"/>
      <c r="BM18" s="800"/>
      <c r="BN18" s="801"/>
      <c r="BO18" s="799"/>
      <c r="BP18" s="800"/>
      <c r="BQ18" s="801"/>
      <c r="BR18" s="799"/>
      <c r="BS18" s="800"/>
      <c r="BT18" s="801"/>
    </row>
    <row r="19" spans="1:72" ht="160" thickBot="1">
      <c r="A19" s="723">
        <v>3</v>
      </c>
      <c r="B19" s="726" t="s">
        <v>27</v>
      </c>
      <c r="C19" s="729" t="str">
        <f>IFERROR(VLOOKUP(B19,Listados!B$3:C$20,2,FALSE),"")</f>
        <v>Proveer información oportuna, confiable, veraz y accesible a clientes internos y externos del Ministerio de Justicia y del Derecho.</v>
      </c>
      <c r="D19" s="732" t="s">
        <v>501</v>
      </c>
      <c r="E19" s="114"/>
      <c r="F19" s="114"/>
      <c r="G19" s="783" t="s">
        <v>502</v>
      </c>
      <c r="H19" s="763" t="s">
        <v>116</v>
      </c>
      <c r="I19" s="763" t="s">
        <v>116</v>
      </c>
      <c r="J19" s="763" t="s">
        <v>116</v>
      </c>
      <c r="K19" s="765" t="s">
        <v>120</v>
      </c>
      <c r="L19" s="765" t="s">
        <v>116</v>
      </c>
      <c r="M19" s="765" t="s">
        <v>120</v>
      </c>
      <c r="N19" s="763" t="s">
        <v>120</v>
      </c>
      <c r="O19" s="763" t="s">
        <v>120</v>
      </c>
      <c r="P19" s="763" t="s">
        <v>116</v>
      </c>
      <c r="Q19" s="763" t="s">
        <v>116</v>
      </c>
      <c r="R19" s="763" t="s">
        <v>116</v>
      </c>
      <c r="S19" s="763" t="s">
        <v>116</v>
      </c>
      <c r="T19" s="763" t="s">
        <v>120</v>
      </c>
      <c r="U19" s="763" t="s">
        <v>120</v>
      </c>
      <c r="V19" s="763" t="s">
        <v>116</v>
      </c>
      <c r="W19" s="763" t="s">
        <v>120</v>
      </c>
      <c r="X19" s="763" t="s">
        <v>120</v>
      </c>
      <c r="Y19" s="763" t="s">
        <v>120</v>
      </c>
      <c r="Z19" s="762" t="s">
        <v>120</v>
      </c>
      <c r="AA19" s="721">
        <f>COUNTIF(H19:Z24, "SI")</f>
        <v>9</v>
      </c>
      <c r="AB19" s="762" t="s">
        <v>31</v>
      </c>
      <c r="AC19" s="719">
        <f>+VLOOKUP(AB19,Listados!$K$8:$L$12,2,0)</f>
        <v>2</v>
      </c>
      <c r="AD19" s="721" t="str">
        <f>+IF(OR(AA19=1,AA19&lt;=5),"Moderado",IF(OR(AA19=6,AA19&lt;=11),"Mayor","Catastrófico"))</f>
        <v>Mayor</v>
      </c>
      <c r="AE19" s="719" t="e">
        <f>+VLOOKUP(AD19,Listados!K25:L29,2,0)</f>
        <v>#N/A</v>
      </c>
      <c r="AF19" s="714" t="str">
        <f>IF(AND(AB19&lt;&gt;"",AD19&lt;&gt;""),VLOOKUP(AB19&amp;AD19,Listados!$M$3:$N$27,2,FALSE),"")</f>
        <v>Alto</v>
      </c>
      <c r="AG19" s="166" t="s">
        <v>503</v>
      </c>
      <c r="AH19" s="164" t="s">
        <v>504</v>
      </c>
      <c r="AI19" s="145" t="s">
        <v>123</v>
      </c>
      <c r="AJ19" s="145"/>
      <c r="AK19" s="28" t="str">
        <f t="shared" si="0"/>
        <v/>
      </c>
      <c r="AL19" s="145"/>
      <c r="AM19" s="28" t="str">
        <f t="shared" si="1"/>
        <v/>
      </c>
      <c r="AN19" s="140"/>
      <c r="AO19" s="28" t="str">
        <f t="shared" si="2"/>
        <v/>
      </c>
      <c r="AP19" s="140"/>
      <c r="AQ19" s="28" t="str">
        <f t="shared" si="3"/>
        <v/>
      </c>
      <c r="AR19" s="140"/>
      <c r="AS19" s="28" t="str">
        <f t="shared" si="4"/>
        <v/>
      </c>
      <c r="AT19" s="140"/>
      <c r="AU19" s="28" t="str">
        <f t="shared" si="5"/>
        <v/>
      </c>
      <c r="AV19" s="140"/>
      <c r="AW19" s="28" t="str">
        <f t="shared" si="6"/>
        <v/>
      </c>
      <c r="AX19" s="111" t="str">
        <f t="shared" si="7"/>
        <v/>
      </c>
      <c r="AY19" s="111" t="str">
        <f t="shared" si="8"/>
        <v/>
      </c>
      <c r="AZ19" s="141"/>
      <c r="BA19" s="153" t="str">
        <f t="shared" si="9"/>
        <v>Débil</v>
      </c>
      <c r="BB19" s="22" t="str">
        <f>IFERROR(VLOOKUP((CONCATENATE(AY19,BA19)),Listados!$U$3:$V$11,2,FALSE),"")</f>
        <v/>
      </c>
      <c r="BC19" s="111">
        <f t="shared" si="10"/>
        <v>100</v>
      </c>
      <c r="BD19" s="716">
        <f>AVERAGE(BC19:BC24)</f>
        <v>100</v>
      </c>
      <c r="BE19" s="718" t="str">
        <f>IF(BD19&lt;=50, "Débil", IF(BD19&lt;=99,"Moderado","Fuerte"))</f>
        <v>Fuerte</v>
      </c>
      <c r="BF19" s="716">
        <f>+IF(BE19="Fuerte",2,IF(BE19="Moderado",1,0))</f>
        <v>2</v>
      </c>
      <c r="BG19" s="716">
        <f>+AC19-BF19</f>
        <v>0</v>
      </c>
      <c r="BH19" s="712" t="str">
        <f>+VLOOKUP(BG19,Listados!$J$18:$K$24,2,TRUE)</f>
        <v>Rara Vez</v>
      </c>
      <c r="BI19" s="714" t="str">
        <f>IF(ISBLANK(AD19),"",AD19)</f>
        <v>Mayor</v>
      </c>
      <c r="BJ19" s="712" t="str">
        <f>IF(AND(BH19&lt;&gt;"",BI19&lt;&gt;""),VLOOKUP(BH19&amp;BI19,Listados!$M$3:$N$27,2,FALSE),"")</f>
        <v>Alto</v>
      </c>
      <c r="BK19" s="712" t="str">
        <f>+VLOOKUP(BJ19,Listados!$P$3:$Q$6,2,FALSE)</f>
        <v>Reducir el riesgo</v>
      </c>
      <c r="BL19" s="799"/>
      <c r="BM19" s="800"/>
      <c r="BN19" s="801"/>
      <c r="BO19" s="799"/>
      <c r="BP19" s="800"/>
      <c r="BQ19" s="801"/>
      <c r="BR19" s="799"/>
      <c r="BS19" s="800"/>
      <c r="BT19" s="801"/>
    </row>
    <row r="20" spans="1:72" ht="189" thickBot="1">
      <c r="A20" s="724"/>
      <c r="B20" s="727"/>
      <c r="C20" s="730"/>
      <c r="D20" s="733"/>
      <c r="E20" s="107" t="s">
        <v>504</v>
      </c>
      <c r="F20" s="160" t="s">
        <v>16</v>
      </c>
      <c r="G20" s="784"/>
      <c r="H20" s="764"/>
      <c r="I20" s="764"/>
      <c r="J20" s="764"/>
      <c r="K20" s="766"/>
      <c r="L20" s="766"/>
      <c r="M20" s="766"/>
      <c r="N20" s="764"/>
      <c r="O20" s="764"/>
      <c r="P20" s="764"/>
      <c r="Q20" s="764"/>
      <c r="R20" s="764"/>
      <c r="S20" s="764"/>
      <c r="T20" s="764"/>
      <c r="U20" s="764"/>
      <c r="V20" s="764"/>
      <c r="W20" s="764"/>
      <c r="X20" s="764"/>
      <c r="Y20" s="764"/>
      <c r="Z20" s="727"/>
      <c r="AA20" s="722"/>
      <c r="AB20" s="727"/>
      <c r="AC20" s="720"/>
      <c r="AD20" s="722" t="str">
        <f>+IF(OR(AB20=1,AB20&lt;=5),"Moderado",IF(OR(AB20=6,AB20&lt;=11),"Mayor","Catastrófico"))</f>
        <v>Moderado</v>
      </c>
      <c r="AE20" s="720"/>
      <c r="AF20" s="715"/>
      <c r="AG20" s="166" t="s">
        <v>505</v>
      </c>
      <c r="AH20" s="164" t="s">
        <v>506</v>
      </c>
      <c r="AI20" s="145" t="s">
        <v>123</v>
      </c>
      <c r="AJ20" s="145"/>
      <c r="AK20" s="28" t="str">
        <f t="shared" si="0"/>
        <v/>
      </c>
      <c r="AL20" s="145"/>
      <c r="AM20" s="28" t="str">
        <f t="shared" si="1"/>
        <v/>
      </c>
      <c r="AN20" s="140"/>
      <c r="AO20" s="28" t="str">
        <f t="shared" si="2"/>
        <v/>
      </c>
      <c r="AP20" s="140"/>
      <c r="AQ20" s="28" t="str">
        <f t="shared" si="3"/>
        <v/>
      </c>
      <c r="AR20" s="140"/>
      <c r="AS20" s="28" t="str">
        <f t="shared" si="4"/>
        <v/>
      </c>
      <c r="AT20" s="140"/>
      <c r="AU20" s="28" t="str">
        <f t="shared" si="5"/>
        <v/>
      </c>
      <c r="AV20" s="140"/>
      <c r="AW20" s="28" t="str">
        <f t="shared" si="6"/>
        <v/>
      </c>
      <c r="AX20" s="111" t="str">
        <f t="shared" si="7"/>
        <v/>
      </c>
      <c r="AY20" s="111" t="str">
        <f t="shared" si="8"/>
        <v/>
      </c>
      <c r="AZ20" s="141"/>
      <c r="BA20" s="153" t="str">
        <f t="shared" si="9"/>
        <v>Débil</v>
      </c>
      <c r="BB20" s="22" t="str">
        <f>IFERROR(VLOOKUP((CONCATENATE(AY20,BA20)),Listados!$U$3:$V$11,2,FALSE),"")</f>
        <v/>
      </c>
      <c r="BC20" s="111">
        <f t="shared" si="10"/>
        <v>100</v>
      </c>
      <c r="BD20" s="717"/>
      <c r="BE20" s="761"/>
      <c r="BF20" s="717"/>
      <c r="BG20" s="717"/>
      <c r="BH20" s="713"/>
      <c r="BI20" s="715"/>
      <c r="BJ20" s="713"/>
      <c r="BK20" s="713"/>
      <c r="BL20" s="799"/>
      <c r="BM20" s="800"/>
      <c r="BN20" s="801"/>
      <c r="BO20" s="799"/>
      <c r="BP20" s="800"/>
      <c r="BQ20" s="801"/>
      <c r="BR20" s="799"/>
      <c r="BS20" s="800"/>
      <c r="BT20" s="801"/>
    </row>
    <row r="21" spans="1:72" ht="38" thickBot="1">
      <c r="A21" s="724"/>
      <c r="B21" s="727"/>
      <c r="C21" s="730"/>
      <c r="D21" s="733"/>
      <c r="E21" s="161" t="s">
        <v>506</v>
      </c>
      <c r="F21" s="160" t="s">
        <v>16</v>
      </c>
      <c r="G21" s="784"/>
      <c r="H21" s="764"/>
      <c r="I21" s="764"/>
      <c r="J21" s="764"/>
      <c r="K21" s="766"/>
      <c r="L21" s="766"/>
      <c r="M21" s="766"/>
      <c r="N21" s="764"/>
      <c r="O21" s="764"/>
      <c r="P21" s="764"/>
      <c r="Q21" s="764"/>
      <c r="R21" s="764"/>
      <c r="S21" s="764"/>
      <c r="T21" s="764"/>
      <c r="U21" s="764"/>
      <c r="V21" s="764"/>
      <c r="W21" s="764"/>
      <c r="X21" s="764"/>
      <c r="Y21" s="764"/>
      <c r="Z21" s="727"/>
      <c r="AA21" s="722"/>
      <c r="AB21" s="727"/>
      <c r="AC21" s="720"/>
      <c r="AD21" s="722" t="str">
        <f>+IF(OR(AB21=1,AB21&lt;=5),"Moderado",IF(OR(AB21=6,AB21&lt;=11),"Mayor","Catastrófico"))</f>
        <v>Moderado</v>
      </c>
      <c r="AE21" s="720"/>
      <c r="AF21" s="715"/>
      <c r="AG21" s="52"/>
      <c r="AH21" s="145"/>
      <c r="AI21" s="145"/>
      <c r="AJ21" s="145"/>
      <c r="AK21" s="28" t="str">
        <f t="shared" si="0"/>
        <v/>
      </c>
      <c r="AL21" s="145"/>
      <c r="AM21" s="28" t="str">
        <f t="shared" si="1"/>
        <v/>
      </c>
      <c r="AN21" s="140"/>
      <c r="AO21" s="28" t="str">
        <f t="shared" si="2"/>
        <v/>
      </c>
      <c r="AP21" s="140"/>
      <c r="AQ21" s="28" t="str">
        <f t="shared" si="3"/>
        <v/>
      </c>
      <c r="AR21" s="140"/>
      <c r="AS21" s="28" t="str">
        <f t="shared" si="4"/>
        <v/>
      </c>
      <c r="AT21" s="140"/>
      <c r="AU21" s="28" t="str">
        <f t="shared" si="5"/>
        <v/>
      </c>
      <c r="AV21" s="140"/>
      <c r="AW21" s="28" t="str">
        <f t="shared" si="6"/>
        <v/>
      </c>
      <c r="AX21" s="111" t="str">
        <f t="shared" si="7"/>
        <v/>
      </c>
      <c r="AY21" s="111" t="str">
        <f t="shared" si="8"/>
        <v/>
      </c>
      <c r="AZ21" s="141"/>
      <c r="BA21" s="153" t="str">
        <f t="shared" si="9"/>
        <v>Débil</v>
      </c>
      <c r="BB21" s="22" t="str">
        <f>IFERROR(VLOOKUP((CONCATENATE(AY21,BA21)),Listados!$U$3:$V$11,2,FALSE),"")</f>
        <v/>
      </c>
      <c r="BC21" s="111">
        <f t="shared" si="10"/>
        <v>100</v>
      </c>
      <c r="BD21" s="717"/>
      <c r="BE21" s="761"/>
      <c r="BF21" s="717"/>
      <c r="BG21" s="717"/>
      <c r="BH21" s="713"/>
      <c r="BI21" s="715"/>
      <c r="BJ21" s="713"/>
      <c r="BK21" s="713"/>
      <c r="BL21" s="799"/>
      <c r="BM21" s="800"/>
      <c r="BN21" s="801"/>
      <c r="BO21" s="799"/>
      <c r="BP21" s="800"/>
      <c r="BQ21" s="801"/>
      <c r="BR21" s="799"/>
      <c r="BS21" s="800"/>
      <c r="BT21" s="801"/>
    </row>
    <row r="22" spans="1:72" ht="15" thickBot="1">
      <c r="A22" s="724"/>
      <c r="B22" s="727"/>
      <c r="C22" s="730"/>
      <c r="D22" s="733"/>
      <c r="E22" s="755"/>
      <c r="F22" s="769"/>
      <c r="G22" s="784"/>
      <c r="H22" s="764"/>
      <c r="I22" s="764"/>
      <c r="J22" s="764"/>
      <c r="K22" s="766"/>
      <c r="L22" s="766"/>
      <c r="M22" s="766"/>
      <c r="N22" s="764"/>
      <c r="O22" s="764"/>
      <c r="P22" s="764"/>
      <c r="Q22" s="764"/>
      <c r="R22" s="764"/>
      <c r="S22" s="764"/>
      <c r="T22" s="764"/>
      <c r="U22" s="764"/>
      <c r="V22" s="764"/>
      <c r="W22" s="764"/>
      <c r="X22" s="764"/>
      <c r="Y22" s="764"/>
      <c r="Z22" s="727"/>
      <c r="AA22" s="722"/>
      <c r="AB22" s="727"/>
      <c r="AC22" s="720"/>
      <c r="AD22" s="722" t="str">
        <f>+IF(OR(AB22=1,AB22&lt;=5),"Moderado",IF(OR(AB22=6,AB22&lt;=11),"Mayor","Catastrófico"))</f>
        <v>Moderado</v>
      </c>
      <c r="AE22" s="720"/>
      <c r="AF22" s="715"/>
      <c r="AG22" s="52"/>
      <c r="AH22" s="145"/>
      <c r="AI22" s="145"/>
      <c r="AJ22" s="145"/>
      <c r="AK22" s="28" t="str">
        <f t="shared" si="0"/>
        <v/>
      </c>
      <c r="AL22" s="145"/>
      <c r="AM22" s="28" t="str">
        <f t="shared" si="1"/>
        <v/>
      </c>
      <c r="AN22" s="140"/>
      <c r="AO22" s="28" t="str">
        <f t="shared" si="2"/>
        <v/>
      </c>
      <c r="AP22" s="140"/>
      <c r="AQ22" s="28" t="str">
        <f t="shared" si="3"/>
        <v/>
      </c>
      <c r="AR22" s="140"/>
      <c r="AS22" s="28" t="str">
        <f t="shared" si="4"/>
        <v/>
      </c>
      <c r="AT22" s="140"/>
      <c r="AU22" s="28" t="str">
        <f t="shared" si="5"/>
        <v/>
      </c>
      <c r="AV22" s="140"/>
      <c r="AW22" s="28" t="str">
        <f t="shared" si="6"/>
        <v/>
      </c>
      <c r="AX22" s="111" t="str">
        <f t="shared" si="7"/>
        <v/>
      </c>
      <c r="AY22" s="111" t="str">
        <f t="shared" si="8"/>
        <v/>
      </c>
      <c r="AZ22" s="141"/>
      <c r="BA22" s="153" t="str">
        <f t="shared" si="9"/>
        <v>Débil</v>
      </c>
      <c r="BB22" s="22" t="str">
        <f>IFERROR(VLOOKUP((CONCATENATE(AY22,BA22)),Listados!$U$3:$V$11,2,FALSE),"")</f>
        <v/>
      </c>
      <c r="BC22" s="111">
        <f t="shared" si="10"/>
        <v>100</v>
      </c>
      <c r="BD22" s="717"/>
      <c r="BE22" s="761"/>
      <c r="BF22" s="717"/>
      <c r="BG22" s="717"/>
      <c r="BH22" s="713"/>
      <c r="BI22" s="715"/>
      <c r="BJ22" s="713"/>
      <c r="BK22" s="713"/>
      <c r="BL22" s="799"/>
      <c r="BM22" s="800"/>
      <c r="BN22" s="801"/>
      <c r="BO22" s="799"/>
      <c r="BP22" s="800"/>
      <c r="BQ22" s="801"/>
      <c r="BR22" s="799"/>
      <c r="BS22" s="800"/>
      <c r="BT22" s="801"/>
    </row>
    <row r="23" spans="1:72" ht="15" thickBot="1">
      <c r="A23" s="724"/>
      <c r="B23" s="727"/>
      <c r="C23" s="730"/>
      <c r="D23" s="733"/>
      <c r="E23" s="756"/>
      <c r="F23" s="770"/>
      <c r="G23" s="784"/>
      <c r="H23" s="764"/>
      <c r="I23" s="764"/>
      <c r="J23" s="764"/>
      <c r="K23" s="766"/>
      <c r="L23" s="766"/>
      <c r="M23" s="766"/>
      <c r="N23" s="764"/>
      <c r="O23" s="764"/>
      <c r="P23" s="764"/>
      <c r="Q23" s="764"/>
      <c r="R23" s="764"/>
      <c r="S23" s="764"/>
      <c r="T23" s="764"/>
      <c r="U23" s="764"/>
      <c r="V23" s="764"/>
      <c r="W23" s="764"/>
      <c r="X23" s="764"/>
      <c r="Y23" s="764"/>
      <c r="Z23" s="727"/>
      <c r="AA23" s="722"/>
      <c r="AB23" s="727"/>
      <c r="AC23" s="720"/>
      <c r="AD23" s="722" t="str">
        <f>+IF(OR(AB23=1,AB23&lt;=5),"Moderado",IF(OR(AB23=6,AB23&lt;=11),"Mayor","Catastrófico"))</f>
        <v>Moderado</v>
      </c>
      <c r="AE23" s="720"/>
      <c r="AF23" s="715"/>
      <c r="AG23" s="52"/>
      <c r="AH23" s="145"/>
      <c r="AI23" s="145"/>
      <c r="AJ23" s="145"/>
      <c r="AK23" s="28" t="str">
        <f t="shared" si="0"/>
        <v/>
      </c>
      <c r="AL23" s="145"/>
      <c r="AM23" s="28" t="str">
        <f t="shared" si="1"/>
        <v/>
      </c>
      <c r="AN23" s="140"/>
      <c r="AO23" s="28" t="str">
        <f t="shared" si="2"/>
        <v/>
      </c>
      <c r="AP23" s="140"/>
      <c r="AQ23" s="28" t="str">
        <f t="shared" si="3"/>
        <v/>
      </c>
      <c r="AR23" s="140"/>
      <c r="AS23" s="28" t="str">
        <f t="shared" si="4"/>
        <v/>
      </c>
      <c r="AT23" s="140"/>
      <c r="AU23" s="28" t="str">
        <f t="shared" si="5"/>
        <v/>
      </c>
      <c r="AV23" s="140"/>
      <c r="AW23" s="28" t="str">
        <f t="shared" si="6"/>
        <v/>
      </c>
      <c r="AX23" s="111" t="str">
        <f t="shared" si="7"/>
        <v/>
      </c>
      <c r="AY23" s="111" t="str">
        <f t="shared" si="8"/>
        <v/>
      </c>
      <c r="AZ23" s="141"/>
      <c r="BA23" s="153" t="str">
        <f t="shared" si="9"/>
        <v>Débil</v>
      </c>
      <c r="BB23" s="22" t="str">
        <f>IFERROR(VLOOKUP((CONCATENATE(AY23,BA23)),Listados!$U$3:$V$11,2,FALSE),"")</f>
        <v/>
      </c>
      <c r="BC23" s="111">
        <f t="shared" si="10"/>
        <v>100</v>
      </c>
      <c r="BD23" s="717"/>
      <c r="BE23" s="761"/>
      <c r="BF23" s="717"/>
      <c r="BG23" s="717"/>
      <c r="BH23" s="713"/>
      <c r="BI23" s="715"/>
      <c r="BJ23" s="713"/>
      <c r="BK23" s="713"/>
      <c r="BL23" s="799"/>
      <c r="BM23" s="800"/>
      <c r="BN23" s="801"/>
      <c r="BO23" s="799"/>
      <c r="BP23" s="800"/>
      <c r="BQ23" s="801"/>
      <c r="BR23" s="799"/>
      <c r="BS23" s="800"/>
      <c r="BT23" s="801"/>
    </row>
    <row r="24" spans="1:72" ht="15" thickBot="1">
      <c r="A24" s="725"/>
      <c r="B24" s="728"/>
      <c r="C24" s="731"/>
      <c r="D24" s="734"/>
      <c r="E24" s="757"/>
      <c r="F24" s="771"/>
      <c r="G24" s="785"/>
      <c r="H24" s="764"/>
      <c r="I24" s="764"/>
      <c r="J24" s="764"/>
      <c r="K24" s="763"/>
      <c r="L24" s="763"/>
      <c r="M24" s="763"/>
      <c r="N24" s="764"/>
      <c r="O24" s="764"/>
      <c r="P24" s="764"/>
      <c r="Q24" s="764"/>
      <c r="R24" s="764"/>
      <c r="S24" s="764"/>
      <c r="T24" s="764"/>
      <c r="U24" s="764"/>
      <c r="V24" s="764"/>
      <c r="W24" s="764"/>
      <c r="X24" s="764"/>
      <c r="Y24" s="764"/>
      <c r="Z24" s="727"/>
      <c r="AA24" s="722"/>
      <c r="AB24" s="727"/>
      <c r="AC24" s="721"/>
      <c r="AD24" s="722" t="str">
        <f>+IF(OR(AB24=1,AB24&lt;=5),"Moderado",IF(OR(AB24=6,AB24&lt;=11),"Mayor","Catastrófico"))</f>
        <v>Moderado</v>
      </c>
      <c r="AE24" s="721"/>
      <c r="AF24" s="715"/>
      <c r="AG24" s="52"/>
      <c r="AH24" s="145"/>
      <c r="AI24" s="145"/>
      <c r="AJ24" s="145"/>
      <c r="AK24" s="28" t="str">
        <f t="shared" si="0"/>
        <v/>
      </c>
      <c r="AL24" s="145"/>
      <c r="AM24" s="28" t="str">
        <f t="shared" si="1"/>
        <v/>
      </c>
      <c r="AN24" s="140"/>
      <c r="AO24" s="28" t="str">
        <f t="shared" si="2"/>
        <v/>
      </c>
      <c r="AP24" s="140"/>
      <c r="AQ24" s="28" t="str">
        <f t="shared" si="3"/>
        <v/>
      </c>
      <c r="AR24" s="140"/>
      <c r="AS24" s="28" t="str">
        <f t="shared" si="4"/>
        <v/>
      </c>
      <c r="AT24" s="140"/>
      <c r="AU24" s="28" t="str">
        <f t="shared" si="5"/>
        <v/>
      </c>
      <c r="AV24" s="140"/>
      <c r="AW24" s="28" t="str">
        <f t="shared" si="6"/>
        <v/>
      </c>
      <c r="AX24" s="111" t="str">
        <f t="shared" si="7"/>
        <v/>
      </c>
      <c r="AY24" s="111" t="str">
        <f t="shared" si="8"/>
        <v/>
      </c>
      <c r="AZ24" s="141"/>
      <c r="BA24" s="153" t="str">
        <f t="shared" si="9"/>
        <v>Débil</v>
      </c>
      <c r="BB24" s="22" t="str">
        <f>IFERROR(VLOOKUP((CONCATENATE(AY24,BA24)),Listados!$U$3:$V$11,2,FALSE),"")</f>
        <v/>
      </c>
      <c r="BC24" s="111">
        <f t="shared" si="10"/>
        <v>100</v>
      </c>
      <c r="BD24" s="718"/>
      <c r="BE24" s="761"/>
      <c r="BF24" s="718"/>
      <c r="BG24" s="718"/>
      <c r="BH24" s="714"/>
      <c r="BI24" s="715"/>
      <c r="BJ24" s="714"/>
      <c r="BK24" s="714"/>
      <c r="BL24" s="799"/>
      <c r="BM24" s="800"/>
      <c r="BN24" s="801"/>
      <c r="BO24" s="799"/>
      <c r="BP24" s="800"/>
      <c r="BQ24" s="801"/>
      <c r="BR24" s="799"/>
      <c r="BS24" s="800"/>
      <c r="BT24" s="801"/>
    </row>
    <row r="25" spans="1:72" ht="75.5" thickBot="1">
      <c r="A25" s="723">
        <v>4</v>
      </c>
      <c r="B25" s="726" t="s">
        <v>98</v>
      </c>
      <c r="C25" s="729" t="str">
        <f>IFERROR(VLOOKUP(B25,Listados!B$3:C$20,2,FALSE),"")</f>
        <v>Orientar la realización de las actividades necesarias para garantizar el acceso, la administración y conservación de los documentos producidos y recibidos por la Entidad, en cumplimiento de las disposiciones emanadas por parte del Archivo General de la Nación “Jorge Palacios Preciado”.</v>
      </c>
      <c r="D25" s="732" t="s">
        <v>507</v>
      </c>
      <c r="E25" s="105" t="s">
        <v>508</v>
      </c>
      <c r="F25" s="109" t="s">
        <v>16</v>
      </c>
      <c r="G25" s="735" t="s">
        <v>509</v>
      </c>
      <c r="H25" s="763" t="s">
        <v>116</v>
      </c>
      <c r="I25" s="763" t="s">
        <v>116</v>
      </c>
      <c r="J25" s="763" t="s">
        <v>116</v>
      </c>
      <c r="K25" s="763" t="s">
        <v>116</v>
      </c>
      <c r="L25" s="763" t="s">
        <v>116</v>
      </c>
      <c r="M25" s="763" t="s">
        <v>120</v>
      </c>
      <c r="N25" s="763" t="s">
        <v>116</v>
      </c>
      <c r="O25" s="763" t="s">
        <v>120</v>
      </c>
      <c r="P25" s="763" t="s">
        <v>116</v>
      </c>
      <c r="Q25" s="763" t="s">
        <v>116</v>
      </c>
      <c r="R25" s="763" t="s">
        <v>120</v>
      </c>
      <c r="S25" s="763" t="s">
        <v>116</v>
      </c>
      <c r="T25" s="763" t="s">
        <v>120</v>
      </c>
      <c r="U25" s="763" t="s">
        <v>116</v>
      </c>
      <c r="V25" s="763" t="s">
        <v>116</v>
      </c>
      <c r="W25" s="763" t="s">
        <v>120</v>
      </c>
      <c r="X25" s="763" t="s">
        <v>116</v>
      </c>
      <c r="Y25" s="763" t="s">
        <v>116</v>
      </c>
      <c r="Z25" s="762" t="s">
        <v>120</v>
      </c>
      <c r="AA25" s="721">
        <f>COUNTIF(H25:Z30, "SI")</f>
        <v>13</v>
      </c>
      <c r="AB25" s="762" t="s">
        <v>21</v>
      </c>
      <c r="AC25" s="719">
        <f>+VLOOKUP(AB25,Listados!$K$8:$L$12,2,0)</f>
        <v>1</v>
      </c>
      <c r="AD25" s="721" t="str">
        <f>+IF(OR(AA25=1,AA25&lt;=5),"Moderado",IF(OR(AA25=6,AA25&lt;=11),"Mayor","Catastrófico"))</f>
        <v>Catastrófico</v>
      </c>
      <c r="AE25" s="719">
        <f>+VLOOKUP(AD25,Listados!K31:L35,2,0)</f>
        <v>0</v>
      </c>
      <c r="AF25" s="714" t="str">
        <f>IF(AND(AB25&lt;&gt;"",AD25&lt;&gt;""),VLOOKUP(AB25&amp;AD25,Listados!$M$3:$N$27,2,FALSE),"")</f>
        <v>Extremo</v>
      </c>
      <c r="AG25" s="52" t="s">
        <v>510</v>
      </c>
      <c r="AH25" s="164" t="s">
        <v>511</v>
      </c>
      <c r="AI25" s="143" t="s">
        <v>123</v>
      </c>
      <c r="AJ25" s="140" t="s">
        <v>116</v>
      </c>
      <c r="AK25" s="28">
        <f>+IF(AJ25="si",15,"")</f>
        <v>15</v>
      </c>
      <c r="AL25" s="140" t="s">
        <v>116</v>
      </c>
      <c r="AM25" s="28">
        <f>+IF(AL25="si",15,"")</f>
        <v>15</v>
      </c>
      <c r="AN25" s="140" t="s">
        <v>116</v>
      </c>
      <c r="AO25" s="28">
        <f>+IF(AN25="si",15,"")</f>
        <v>15</v>
      </c>
      <c r="AP25" s="140" t="s">
        <v>116</v>
      </c>
      <c r="AQ25" s="28" t="str">
        <f t="shared" si="3"/>
        <v/>
      </c>
      <c r="AR25" s="140" t="s">
        <v>116</v>
      </c>
      <c r="AS25" s="28">
        <f>+IF(AR25="si",15,"")</f>
        <v>15</v>
      </c>
      <c r="AT25" s="140" t="s">
        <v>116</v>
      </c>
      <c r="AU25" s="28">
        <f>+IF(AT25="si",15,"")</f>
        <v>15</v>
      </c>
      <c r="AV25" s="140" t="s">
        <v>117</v>
      </c>
      <c r="AW25" s="28">
        <f t="shared" si="6"/>
        <v>10</v>
      </c>
      <c r="AX25" s="111">
        <f t="shared" si="7"/>
        <v>85</v>
      </c>
      <c r="AY25" s="111" t="str">
        <f t="shared" si="8"/>
        <v>Débil</v>
      </c>
      <c r="AZ25" s="141" t="s">
        <v>118</v>
      </c>
      <c r="BA25" s="153" t="str">
        <f t="shared" ref="BA25:BA30" si="11">+IF(AZ25="siempre","Fuerte",IF(AZ25="Algunas veces","Moderado","Débil"))</f>
        <v>Fuerte</v>
      </c>
      <c r="BB25" s="22" t="str">
        <f>IFERROR(VLOOKUP((CONCATENATE(AY25,BA25)),[7]Listados!$U$3:$V$11,2,FALSE),"")</f>
        <v>Débil</v>
      </c>
      <c r="BC25" s="111">
        <f t="shared" ref="BC25:BC30" si="12">IF(ISBLANK(BB25),"",IF(BB25="Débil", 0, IF(BB25="Moderado",50,100)))</f>
        <v>0</v>
      </c>
      <c r="BD25" s="716">
        <f>AVERAGE(BC25:BC30)</f>
        <v>83.333333333333329</v>
      </c>
      <c r="BE25" s="718" t="str">
        <f>IF(BD25&lt;=50, "Débil", IF(BD25&lt;=99,"Moderado","Fuerte"))</f>
        <v>Moderado</v>
      </c>
      <c r="BF25" s="716">
        <f>+IF(BE25="Fuerte",2,IF(BE25="Moderado",1,0))</f>
        <v>1</v>
      </c>
      <c r="BG25" s="716">
        <f>+AC25-BF25</f>
        <v>0</v>
      </c>
      <c r="BH25" s="712" t="str">
        <f>+VLOOKUP(BG25,[7]Listados!$J$18:$K$24,2,TRUE)</f>
        <v>Rara Vez</v>
      </c>
      <c r="BI25" s="714" t="str">
        <f>IF(ISBLANK(AD25),"",AD25)</f>
        <v>Catastrófico</v>
      </c>
      <c r="BJ25" s="712" t="str">
        <f>IF(AND(BH25&lt;&gt;"",BI25&lt;&gt;""),VLOOKUP(BH25&amp;BI25,[7]Listados!$M$3:$N$27,2,FALSE),"")</f>
        <v>Extremo</v>
      </c>
      <c r="BK25" s="712" t="str">
        <f>+VLOOKUP(BJ25,[7]Listados!$P$3:$Q$6,2,FALSE)</f>
        <v>Evitar el riesgo</v>
      </c>
      <c r="BL25" s="799"/>
      <c r="BM25" s="800"/>
      <c r="BN25" s="801"/>
      <c r="BO25" s="799"/>
      <c r="BP25" s="800"/>
      <c r="BQ25" s="801"/>
      <c r="BR25" s="799"/>
      <c r="BS25" s="800"/>
      <c r="BT25" s="801"/>
    </row>
    <row r="26" spans="1:72" ht="25.5" thickBot="1">
      <c r="A26" s="724"/>
      <c r="B26" s="727"/>
      <c r="C26" s="730"/>
      <c r="D26" s="733"/>
      <c r="E26" s="161" t="s">
        <v>512</v>
      </c>
      <c r="F26" s="109" t="s">
        <v>16</v>
      </c>
      <c r="G26" s="736"/>
      <c r="H26" s="764"/>
      <c r="I26" s="764"/>
      <c r="J26" s="764"/>
      <c r="K26" s="764"/>
      <c r="L26" s="764"/>
      <c r="M26" s="764"/>
      <c r="N26" s="764"/>
      <c r="O26" s="764"/>
      <c r="P26" s="764"/>
      <c r="Q26" s="764"/>
      <c r="R26" s="764"/>
      <c r="S26" s="764"/>
      <c r="T26" s="764"/>
      <c r="U26" s="764"/>
      <c r="V26" s="764"/>
      <c r="W26" s="764"/>
      <c r="X26" s="764"/>
      <c r="Y26" s="764"/>
      <c r="Z26" s="727"/>
      <c r="AA26" s="722"/>
      <c r="AB26" s="727"/>
      <c r="AC26" s="720"/>
      <c r="AD26" s="722" t="str">
        <f>+IF(OR(AB26=1,AB26&lt;=5),"Moderado",IF(OR(AB26=6,AB26&lt;=11),"Mayor","Catastrófico"))</f>
        <v>Moderado</v>
      </c>
      <c r="AE26" s="720"/>
      <c r="AF26" s="715"/>
      <c r="AG26" s="52"/>
      <c r="AH26" s="145"/>
      <c r="AI26" s="145"/>
      <c r="AJ26" s="145"/>
      <c r="AK26" s="28" t="str">
        <f t="shared" si="0"/>
        <v/>
      </c>
      <c r="AL26" s="145"/>
      <c r="AM26" s="28" t="str">
        <f t="shared" si="1"/>
        <v/>
      </c>
      <c r="AN26" s="140"/>
      <c r="AO26" s="28" t="str">
        <f t="shared" si="2"/>
        <v/>
      </c>
      <c r="AP26" s="140"/>
      <c r="AQ26" s="28" t="str">
        <f t="shared" si="3"/>
        <v/>
      </c>
      <c r="AR26" s="140"/>
      <c r="AS26" s="28" t="str">
        <f t="shared" si="4"/>
        <v/>
      </c>
      <c r="AT26" s="140"/>
      <c r="AU26" s="28" t="str">
        <f t="shared" si="5"/>
        <v/>
      </c>
      <c r="AV26" s="140"/>
      <c r="AW26" s="28" t="str">
        <f t="shared" si="6"/>
        <v/>
      </c>
      <c r="AX26" s="111" t="str">
        <f t="shared" si="7"/>
        <v/>
      </c>
      <c r="AY26" s="111" t="str">
        <f t="shared" si="8"/>
        <v/>
      </c>
      <c r="AZ26" s="141"/>
      <c r="BA26" s="153" t="str">
        <f t="shared" si="11"/>
        <v>Débil</v>
      </c>
      <c r="BB26" s="22" t="str">
        <f>IFERROR(VLOOKUP((CONCATENATE(AY26,BA26)),[7]Listados!$U$3:$V$11,2,FALSE),"")</f>
        <v/>
      </c>
      <c r="BC26" s="111">
        <f t="shared" si="12"/>
        <v>100</v>
      </c>
      <c r="BD26" s="717"/>
      <c r="BE26" s="761"/>
      <c r="BF26" s="717"/>
      <c r="BG26" s="717"/>
      <c r="BH26" s="713"/>
      <c r="BI26" s="715"/>
      <c r="BJ26" s="713"/>
      <c r="BK26" s="713"/>
      <c r="BL26" s="799"/>
      <c r="BM26" s="800"/>
      <c r="BN26" s="801"/>
      <c r="BO26" s="799"/>
      <c r="BP26" s="800"/>
      <c r="BQ26" s="801"/>
      <c r="BR26" s="799"/>
      <c r="BS26" s="800"/>
      <c r="BT26" s="801"/>
    </row>
    <row r="27" spans="1:72" ht="15" thickBot="1">
      <c r="A27" s="724"/>
      <c r="B27" s="727"/>
      <c r="C27" s="730"/>
      <c r="D27" s="733"/>
      <c r="E27" s="161" t="s">
        <v>513</v>
      </c>
      <c r="F27" s="150"/>
      <c r="G27" s="736"/>
      <c r="H27" s="764"/>
      <c r="I27" s="764"/>
      <c r="J27" s="764"/>
      <c r="K27" s="764"/>
      <c r="L27" s="764"/>
      <c r="M27" s="764"/>
      <c r="N27" s="764"/>
      <c r="O27" s="764"/>
      <c r="P27" s="764"/>
      <c r="Q27" s="764"/>
      <c r="R27" s="764"/>
      <c r="S27" s="764"/>
      <c r="T27" s="764"/>
      <c r="U27" s="764"/>
      <c r="V27" s="764"/>
      <c r="W27" s="764"/>
      <c r="X27" s="764"/>
      <c r="Y27" s="764"/>
      <c r="Z27" s="727"/>
      <c r="AA27" s="722"/>
      <c r="AB27" s="727"/>
      <c r="AC27" s="720"/>
      <c r="AD27" s="722" t="str">
        <f>+IF(OR(AB27=1,AB27&lt;=5),"Moderado",IF(OR(AB27=6,AB27&lt;=11),"Mayor","Catastrófico"))</f>
        <v>Moderado</v>
      </c>
      <c r="AE27" s="720"/>
      <c r="AF27" s="715"/>
      <c r="AG27" s="52"/>
      <c r="AH27" s="145"/>
      <c r="AI27" s="145"/>
      <c r="AJ27" s="145"/>
      <c r="AK27" s="28" t="str">
        <f t="shared" si="0"/>
        <v/>
      </c>
      <c r="AL27" s="145"/>
      <c r="AM27" s="28" t="str">
        <f t="shared" si="1"/>
        <v/>
      </c>
      <c r="AN27" s="140"/>
      <c r="AO27" s="28" t="str">
        <f t="shared" si="2"/>
        <v/>
      </c>
      <c r="AP27" s="140"/>
      <c r="AQ27" s="28" t="str">
        <f t="shared" si="3"/>
        <v/>
      </c>
      <c r="AR27" s="140"/>
      <c r="AS27" s="28" t="str">
        <f t="shared" si="4"/>
        <v/>
      </c>
      <c r="AT27" s="140"/>
      <c r="AU27" s="28" t="str">
        <f t="shared" si="5"/>
        <v/>
      </c>
      <c r="AV27" s="140"/>
      <c r="AW27" s="28" t="str">
        <f t="shared" si="6"/>
        <v/>
      </c>
      <c r="AX27" s="111" t="str">
        <f t="shared" si="7"/>
        <v/>
      </c>
      <c r="AY27" s="111" t="str">
        <f t="shared" si="8"/>
        <v/>
      </c>
      <c r="AZ27" s="141"/>
      <c r="BA27" s="153" t="str">
        <f t="shared" si="11"/>
        <v>Débil</v>
      </c>
      <c r="BB27" s="22" t="str">
        <f>IFERROR(VLOOKUP((CONCATENATE(AY27,BA27)),[7]Listados!$U$3:$V$11,2,FALSE),"")</f>
        <v/>
      </c>
      <c r="BC27" s="111">
        <f t="shared" si="12"/>
        <v>100</v>
      </c>
      <c r="BD27" s="717"/>
      <c r="BE27" s="761"/>
      <c r="BF27" s="717"/>
      <c r="BG27" s="717"/>
      <c r="BH27" s="713"/>
      <c r="BI27" s="715"/>
      <c r="BJ27" s="713"/>
      <c r="BK27" s="713"/>
      <c r="BL27" s="799"/>
      <c r="BM27" s="800"/>
      <c r="BN27" s="801"/>
      <c r="BO27" s="799"/>
      <c r="BP27" s="800"/>
      <c r="BQ27" s="801"/>
      <c r="BR27" s="799"/>
      <c r="BS27" s="800"/>
      <c r="BT27" s="801"/>
    </row>
    <row r="28" spans="1:72" ht="15" thickBot="1">
      <c r="A28" s="724"/>
      <c r="B28" s="727"/>
      <c r="C28" s="730"/>
      <c r="D28" s="733"/>
      <c r="E28" s="755"/>
      <c r="F28" s="769"/>
      <c r="G28" s="736"/>
      <c r="H28" s="764"/>
      <c r="I28" s="764"/>
      <c r="J28" s="764"/>
      <c r="K28" s="764"/>
      <c r="L28" s="764"/>
      <c r="M28" s="764"/>
      <c r="N28" s="764"/>
      <c r="O28" s="764"/>
      <c r="P28" s="764"/>
      <c r="Q28" s="764"/>
      <c r="R28" s="764"/>
      <c r="S28" s="764"/>
      <c r="T28" s="764"/>
      <c r="U28" s="764"/>
      <c r="V28" s="764"/>
      <c r="W28" s="764"/>
      <c r="X28" s="764"/>
      <c r="Y28" s="764"/>
      <c r="Z28" s="727"/>
      <c r="AA28" s="722"/>
      <c r="AB28" s="727"/>
      <c r="AC28" s="720"/>
      <c r="AD28" s="722" t="str">
        <f>+IF(OR(AB28=1,AB28&lt;=5),"Moderado",IF(OR(AB28=6,AB28&lt;=11),"Mayor","Catastrófico"))</f>
        <v>Moderado</v>
      </c>
      <c r="AE28" s="720"/>
      <c r="AF28" s="715"/>
      <c r="AG28" s="52"/>
      <c r="AH28" s="145"/>
      <c r="AI28" s="145"/>
      <c r="AJ28" s="145"/>
      <c r="AK28" s="28" t="str">
        <f t="shared" si="0"/>
        <v/>
      </c>
      <c r="AL28" s="145"/>
      <c r="AM28" s="28" t="str">
        <f t="shared" si="1"/>
        <v/>
      </c>
      <c r="AN28" s="140"/>
      <c r="AO28" s="28" t="str">
        <f t="shared" si="2"/>
        <v/>
      </c>
      <c r="AP28" s="140"/>
      <c r="AQ28" s="28" t="str">
        <f t="shared" si="3"/>
        <v/>
      </c>
      <c r="AR28" s="140"/>
      <c r="AS28" s="28" t="str">
        <f t="shared" si="4"/>
        <v/>
      </c>
      <c r="AT28" s="140"/>
      <c r="AU28" s="28" t="str">
        <f t="shared" si="5"/>
        <v/>
      </c>
      <c r="AV28" s="140"/>
      <c r="AW28" s="28" t="str">
        <f t="shared" si="6"/>
        <v/>
      </c>
      <c r="AX28" s="111" t="str">
        <f t="shared" si="7"/>
        <v/>
      </c>
      <c r="AY28" s="111" t="str">
        <f t="shared" si="8"/>
        <v/>
      </c>
      <c r="AZ28" s="141"/>
      <c r="BA28" s="153" t="str">
        <f t="shared" si="11"/>
        <v>Débil</v>
      </c>
      <c r="BB28" s="22" t="str">
        <f>IFERROR(VLOOKUP((CONCATENATE(AY28,BA28)),[7]Listados!$U$3:$V$11,2,FALSE),"")</f>
        <v/>
      </c>
      <c r="BC28" s="111">
        <f t="shared" si="12"/>
        <v>100</v>
      </c>
      <c r="BD28" s="717"/>
      <c r="BE28" s="761"/>
      <c r="BF28" s="717"/>
      <c r="BG28" s="717"/>
      <c r="BH28" s="713"/>
      <c r="BI28" s="715"/>
      <c r="BJ28" s="713"/>
      <c r="BK28" s="713"/>
      <c r="BL28" s="799"/>
      <c r="BM28" s="800"/>
      <c r="BN28" s="801"/>
      <c r="BO28" s="799"/>
      <c r="BP28" s="800"/>
      <c r="BQ28" s="801"/>
      <c r="BR28" s="799"/>
      <c r="BS28" s="800"/>
      <c r="BT28" s="801"/>
    </row>
    <row r="29" spans="1:72" ht="15" thickBot="1">
      <c r="A29" s="724"/>
      <c r="B29" s="727"/>
      <c r="C29" s="730"/>
      <c r="D29" s="733"/>
      <c r="E29" s="756"/>
      <c r="F29" s="770"/>
      <c r="G29" s="736"/>
      <c r="H29" s="764"/>
      <c r="I29" s="764"/>
      <c r="J29" s="764"/>
      <c r="K29" s="764"/>
      <c r="L29" s="764"/>
      <c r="M29" s="764"/>
      <c r="N29" s="764"/>
      <c r="O29" s="764"/>
      <c r="P29" s="764"/>
      <c r="Q29" s="764"/>
      <c r="R29" s="764"/>
      <c r="S29" s="764"/>
      <c r="T29" s="764"/>
      <c r="U29" s="764"/>
      <c r="V29" s="764"/>
      <c r="W29" s="764"/>
      <c r="X29" s="764"/>
      <c r="Y29" s="764"/>
      <c r="Z29" s="727"/>
      <c r="AA29" s="722"/>
      <c r="AB29" s="727"/>
      <c r="AC29" s="720"/>
      <c r="AD29" s="722" t="str">
        <f>+IF(OR(AB29=1,AB29&lt;=5),"Moderado",IF(OR(AB29=6,AB29&lt;=11),"Mayor","Catastrófico"))</f>
        <v>Moderado</v>
      </c>
      <c r="AE29" s="720"/>
      <c r="AF29" s="715"/>
      <c r="AG29" s="52"/>
      <c r="AH29" s="145"/>
      <c r="AI29" s="145"/>
      <c r="AJ29" s="145"/>
      <c r="AK29" s="28" t="str">
        <f t="shared" si="0"/>
        <v/>
      </c>
      <c r="AL29" s="145"/>
      <c r="AM29" s="28" t="str">
        <f t="shared" si="1"/>
        <v/>
      </c>
      <c r="AN29" s="140"/>
      <c r="AO29" s="28" t="str">
        <f t="shared" si="2"/>
        <v/>
      </c>
      <c r="AP29" s="140"/>
      <c r="AQ29" s="28" t="str">
        <f t="shared" si="3"/>
        <v/>
      </c>
      <c r="AR29" s="140"/>
      <c r="AS29" s="28" t="str">
        <f t="shared" si="4"/>
        <v/>
      </c>
      <c r="AT29" s="140"/>
      <c r="AU29" s="28" t="str">
        <f t="shared" si="5"/>
        <v/>
      </c>
      <c r="AV29" s="140"/>
      <c r="AW29" s="28" t="str">
        <f t="shared" si="6"/>
        <v/>
      </c>
      <c r="AX29" s="111" t="str">
        <f t="shared" si="7"/>
        <v/>
      </c>
      <c r="AY29" s="111" t="str">
        <f t="shared" si="8"/>
        <v/>
      </c>
      <c r="AZ29" s="141"/>
      <c r="BA29" s="153" t="str">
        <f t="shared" si="11"/>
        <v>Débil</v>
      </c>
      <c r="BB29" s="22" t="str">
        <f>IFERROR(VLOOKUP((CONCATENATE(AY29,BA29)),[7]Listados!$U$3:$V$11,2,FALSE),"")</f>
        <v/>
      </c>
      <c r="BC29" s="111">
        <f t="shared" si="12"/>
        <v>100</v>
      </c>
      <c r="BD29" s="717"/>
      <c r="BE29" s="761"/>
      <c r="BF29" s="717"/>
      <c r="BG29" s="717"/>
      <c r="BH29" s="713"/>
      <c r="BI29" s="715"/>
      <c r="BJ29" s="713"/>
      <c r="BK29" s="713"/>
      <c r="BL29" s="799"/>
      <c r="BM29" s="800"/>
      <c r="BN29" s="801"/>
      <c r="BO29" s="799"/>
      <c r="BP29" s="800"/>
      <c r="BQ29" s="801"/>
      <c r="BR29" s="799"/>
      <c r="BS29" s="800"/>
      <c r="BT29" s="801"/>
    </row>
    <row r="30" spans="1:72" ht="15" thickBot="1">
      <c r="A30" s="725"/>
      <c r="B30" s="728"/>
      <c r="C30" s="731"/>
      <c r="D30" s="734"/>
      <c r="E30" s="757"/>
      <c r="F30" s="771"/>
      <c r="G30" s="736"/>
      <c r="H30" s="764"/>
      <c r="I30" s="764"/>
      <c r="J30" s="764"/>
      <c r="K30" s="764"/>
      <c r="L30" s="764"/>
      <c r="M30" s="764"/>
      <c r="N30" s="764"/>
      <c r="O30" s="764"/>
      <c r="P30" s="764"/>
      <c r="Q30" s="764"/>
      <c r="R30" s="764"/>
      <c r="S30" s="764"/>
      <c r="T30" s="764"/>
      <c r="U30" s="764"/>
      <c r="V30" s="764"/>
      <c r="W30" s="764"/>
      <c r="X30" s="764"/>
      <c r="Y30" s="764"/>
      <c r="Z30" s="727"/>
      <c r="AA30" s="722"/>
      <c r="AB30" s="727"/>
      <c r="AC30" s="721"/>
      <c r="AD30" s="722" t="str">
        <f>+IF(OR(AB30=1,AB30&lt;=5),"Moderado",IF(OR(AB30=6,AB30&lt;=11),"Mayor","Catastrófico"))</f>
        <v>Moderado</v>
      </c>
      <c r="AE30" s="721"/>
      <c r="AF30" s="715"/>
      <c r="AG30" s="106"/>
      <c r="AH30" s="145"/>
      <c r="AI30" s="145"/>
      <c r="AJ30" s="145"/>
      <c r="AK30" s="28" t="str">
        <f t="shared" si="0"/>
        <v/>
      </c>
      <c r="AL30" s="145"/>
      <c r="AM30" s="28" t="str">
        <f t="shared" si="1"/>
        <v/>
      </c>
      <c r="AN30" s="140"/>
      <c r="AO30" s="28" t="str">
        <f t="shared" si="2"/>
        <v/>
      </c>
      <c r="AP30" s="140"/>
      <c r="AQ30" s="28" t="str">
        <f t="shared" si="3"/>
        <v/>
      </c>
      <c r="AR30" s="140"/>
      <c r="AS30" s="28" t="str">
        <f t="shared" si="4"/>
        <v/>
      </c>
      <c r="AT30" s="140"/>
      <c r="AU30" s="28" t="str">
        <f t="shared" si="5"/>
        <v/>
      </c>
      <c r="AV30" s="140"/>
      <c r="AW30" s="28" t="str">
        <f t="shared" si="6"/>
        <v/>
      </c>
      <c r="AX30" s="111" t="str">
        <f t="shared" si="7"/>
        <v/>
      </c>
      <c r="AY30" s="111" t="str">
        <f t="shared" si="8"/>
        <v/>
      </c>
      <c r="AZ30" s="141"/>
      <c r="BA30" s="153" t="str">
        <f t="shared" si="11"/>
        <v>Débil</v>
      </c>
      <c r="BB30" s="22" t="str">
        <f>IFERROR(VLOOKUP((CONCATENATE(AY30,BA30)),[7]Listados!$U$3:$V$11,2,FALSE),"")</f>
        <v/>
      </c>
      <c r="BC30" s="111">
        <f t="shared" si="12"/>
        <v>100</v>
      </c>
      <c r="BD30" s="718"/>
      <c r="BE30" s="761"/>
      <c r="BF30" s="718"/>
      <c r="BG30" s="718"/>
      <c r="BH30" s="714"/>
      <c r="BI30" s="715"/>
      <c r="BJ30" s="714"/>
      <c r="BK30" s="714"/>
      <c r="BL30" s="799"/>
      <c r="BM30" s="800"/>
      <c r="BN30" s="801"/>
      <c r="BO30" s="799"/>
      <c r="BP30" s="800"/>
      <c r="BQ30" s="801"/>
      <c r="BR30" s="799"/>
      <c r="BS30" s="800"/>
      <c r="BT30" s="801"/>
    </row>
    <row r="31" spans="1:72" ht="102" thickBot="1">
      <c r="A31" s="723">
        <v>5</v>
      </c>
      <c r="B31" s="772" t="s">
        <v>104</v>
      </c>
      <c r="C31" s="729" t="str">
        <f>IFERROR(VLOOKUP(B31,Listados!B$3:C$20,2,FALSE),"")</f>
        <v>Evaluar y/o hacer seguimiento a la planeación, ejecución y control en la gestión de los procesos (SIG), programas, planes y proyectos del Ministerio de Justicia y del Derecho para el mejoramiento continuo de la gestión de la Entidad.</v>
      </c>
      <c r="D31" s="732" t="s">
        <v>514</v>
      </c>
      <c r="E31" s="105" t="s">
        <v>515</v>
      </c>
      <c r="F31" s="109" t="s">
        <v>16</v>
      </c>
      <c r="G31" s="735" t="s">
        <v>516</v>
      </c>
      <c r="H31" s="714" t="s">
        <v>257</v>
      </c>
      <c r="I31" s="714" t="s">
        <v>257</v>
      </c>
      <c r="J31" s="714" t="s">
        <v>517</v>
      </c>
      <c r="K31" s="714" t="s">
        <v>517</v>
      </c>
      <c r="L31" s="714" t="s">
        <v>257</v>
      </c>
      <c r="M31" s="714" t="s">
        <v>257</v>
      </c>
      <c r="N31" s="714" t="s">
        <v>517</v>
      </c>
      <c r="O31" s="714" t="s">
        <v>517</v>
      </c>
      <c r="P31" s="714" t="s">
        <v>257</v>
      </c>
      <c r="Q31" s="714" t="s">
        <v>257</v>
      </c>
      <c r="R31" s="714" t="s">
        <v>257</v>
      </c>
      <c r="S31" s="714" t="s">
        <v>257</v>
      </c>
      <c r="T31" s="714" t="s">
        <v>517</v>
      </c>
      <c r="U31" s="714" t="s">
        <v>257</v>
      </c>
      <c r="V31" s="714" t="s">
        <v>257</v>
      </c>
      <c r="W31" s="714" t="s">
        <v>517</v>
      </c>
      <c r="X31" s="714" t="s">
        <v>517</v>
      </c>
      <c r="Y31" s="714" t="s">
        <v>517</v>
      </c>
      <c r="Z31" s="767" t="s">
        <v>517</v>
      </c>
      <c r="AA31" s="721">
        <f>COUNTIF(H31:Z36, "SI")</f>
        <v>10</v>
      </c>
      <c r="AB31" s="762" t="s">
        <v>21</v>
      </c>
      <c r="AC31" s="719">
        <f>+VLOOKUP(AB31,Listados!$K$8:$L$12,2,0)</f>
        <v>1</v>
      </c>
      <c r="AD31" s="721" t="str">
        <f>+IF(OR(AA31=1,AA31&lt;=5),"Moderado",IF(OR(AA31=6,AA31&lt;=11),"Mayor","Catastrófico"))</f>
        <v>Mayor</v>
      </c>
      <c r="AE31" s="719" t="e">
        <f>+VLOOKUP(AD31,Listados!K37:L41,2,0)</f>
        <v>#N/A</v>
      </c>
      <c r="AF31" s="714" t="str">
        <f>IF(AND(AB31&lt;&gt;"",AD31&lt;&gt;""),VLOOKUP(AB31&amp;AD31,Listados!$M$3:$N$27,2,FALSE),"")</f>
        <v>Alto</v>
      </c>
      <c r="AG31" s="167" t="s">
        <v>518</v>
      </c>
      <c r="AH31" s="168" t="s">
        <v>519</v>
      </c>
      <c r="AI31" s="169" t="s">
        <v>20</v>
      </c>
      <c r="AJ31" s="152" t="s">
        <v>116</v>
      </c>
      <c r="AK31" s="28">
        <f>+IF(AJ31="si",15,"")</f>
        <v>15</v>
      </c>
      <c r="AL31" s="152" t="s">
        <v>257</v>
      </c>
      <c r="AM31" s="28">
        <f>+IF(AL31="si",15,"")</f>
        <v>15</v>
      </c>
      <c r="AN31" s="152" t="s">
        <v>257</v>
      </c>
      <c r="AO31" s="28">
        <f>+IF(AN31="si",15,"")</f>
        <v>15</v>
      </c>
      <c r="AP31" s="152" t="s">
        <v>257</v>
      </c>
      <c r="AQ31" s="28">
        <f>+IF(AP31="si",15,"")</f>
        <v>15</v>
      </c>
      <c r="AR31" s="152" t="s">
        <v>257</v>
      </c>
      <c r="AS31" s="28">
        <f>+IF(AR31="si",15,"")</f>
        <v>15</v>
      </c>
      <c r="AT31" s="152" t="s">
        <v>257</v>
      </c>
      <c r="AU31" s="28">
        <f>+IF(AT31="si",15,"")</f>
        <v>15</v>
      </c>
      <c r="AV31" s="152" t="s">
        <v>117</v>
      </c>
      <c r="AW31" s="28">
        <f t="shared" si="6"/>
        <v>10</v>
      </c>
      <c r="AX31" s="111">
        <f t="shared" si="7"/>
        <v>100</v>
      </c>
      <c r="AY31" s="111" t="str">
        <f t="shared" si="8"/>
        <v>Fuerte</v>
      </c>
      <c r="AZ31" s="141" t="s">
        <v>118</v>
      </c>
      <c r="BA31" s="153" t="str">
        <f t="shared" si="9"/>
        <v>Fuerte</v>
      </c>
      <c r="BB31" s="22" t="str">
        <f>IFERROR(VLOOKUP((CONCATENATE(AY31,BA31)),Listados!$U$3:$V$11,2,FALSE),"")</f>
        <v>Fuerte</v>
      </c>
      <c r="BC31" s="111">
        <f t="shared" si="10"/>
        <v>100</v>
      </c>
      <c r="BD31" s="716">
        <f>AVERAGE(BC31:BC36)</f>
        <v>83.333333333333329</v>
      </c>
      <c r="BE31" s="718" t="str">
        <f>IF(BD31&lt;=50, "Débil", IF(BD31&lt;=99,"Moderado","Fuerte"))</f>
        <v>Moderado</v>
      </c>
      <c r="BF31" s="716">
        <f>+IF(BE31="Fuerte",2,IF(BE31="Moderado",1,0))</f>
        <v>1</v>
      </c>
      <c r="BG31" s="716">
        <f>+AC31-BF31</f>
        <v>0</v>
      </c>
      <c r="BH31" s="712" t="str">
        <f>+VLOOKUP(BG31,Listados!$J$18:$K$24,2,TRUE)</f>
        <v>Rara Vez</v>
      </c>
      <c r="BI31" s="714" t="str">
        <f>IF(ISBLANK(AD31),"",AD31)</f>
        <v>Mayor</v>
      </c>
      <c r="BJ31" s="712" t="str">
        <f>IF(AND(BH31&lt;&gt;"",BI31&lt;&gt;""),VLOOKUP(BH31&amp;BI31,Listados!$M$3:$N$27,2,FALSE),"")</f>
        <v>Alto</v>
      </c>
      <c r="BK31" s="712" t="str">
        <f>+VLOOKUP(BJ31,Listados!$P$3:$Q$6,2,FALSE)</f>
        <v>Reducir el riesgo</v>
      </c>
      <c r="BL31" s="799"/>
      <c r="BM31" s="800"/>
      <c r="BN31" s="801"/>
      <c r="BO31" s="799"/>
      <c r="BP31" s="800"/>
      <c r="BQ31" s="801"/>
      <c r="BR31" s="799"/>
      <c r="BS31" s="800"/>
      <c r="BT31" s="801"/>
    </row>
    <row r="32" spans="1:72" ht="73" thickBot="1">
      <c r="A32" s="724"/>
      <c r="B32" s="768"/>
      <c r="C32" s="730"/>
      <c r="D32" s="733"/>
      <c r="E32" s="161" t="s">
        <v>520</v>
      </c>
      <c r="F32" s="160" t="s">
        <v>16</v>
      </c>
      <c r="G32" s="736"/>
      <c r="H32" s="715"/>
      <c r="I32" s="715"/>
      <c r="J32" s="715"/>
      <c r="K32" s="715"/>
      <c r="L32" s="715"/>
      <c r="M32" s="715"/>
      <c r="N32" s="715"/>
      <c r="O32" s="715"/>
      <c r="P32" s="715"/>
      <c r="Q32" s="715"/>
      <c r="R32" s="715"/>
      <c r="S32" s="715"/>
      <c r="T32" s="715"/>
      <c r="U32" s="715"/>
      <c r="V32" s="715"/>
      <c r="W32" s="715"/>
      <c r="X32" s="715"/>
      <c r="Y32" s="715"/>
      <c r="Z32" s="768"/>
      <c r="AA32" s="722"/>
      <c r="AB32" s="727"/>
      <c r="AC32" s="720"/>
      <c r="AD32" s="722" t="str">
        <f>+IF(OR(AB32=1,AB32&lt;=5),"Moderado",IF(OR(AB32=6,AB32&lt;=11),"Mayor","Catastrófico"))</f>
        <v>Moderado</v>
      </c>
      <c r="AE32" s="720"/>
      <c r="AF32" s="715"/>
      <c r="AG32" s="167" t="s">
        <v>521</v>
      </c>
      <c r="AH32" s="168" t="s">
        <v>515</v>
      </c>
      <c r="AI32" s="169" t="s">
        <v>123</v>
      </c>
      <c r="AJ32" s="152" t="s">
        <v>257</v>
      </c>
      <c r="AK32" s="28">
        <f t="shared" ref="AK32" si="13">+IF(AJ32="si",15,"")</f>
        <v>15</v>
      </c>
      <c r="AL32" s="152" t="s">
        <v>257</v>
      </c>
      <c r="AM32" s="28">
        <f t="shared" ref="AM32" si="14">+IF(AL32="si",15,"")</f>
        <v>15</v>
      </c>
      <c r="AN32" s="152" t="s">
        <v>257</v>
      </c>
      <c r="AO32" s="28">
        <f t="shared" ref="AO32" si="15">+IF(AN32="si",15,"")</f>
        <v>15</v>
      </c>
      <c r="AP32" s="152" t="s">
        <v>257</v>
      </c>
      <c r="AQ32" s="28">
        <f t="shared" ref="AQ32" si="16">+IF(AP32="si",15,"")</f>
        <v>15</v>
      </c>
      <c r="AR32" s="152" t="s">
        <v>257</v>
      </c>
      <c r="AS32" s="28">
        <f t="shared" ref="AS32" si="17">+IF(AR32="si",15,"")</f>
        <v>15</v>
      </c>
      <c r="AT32" s="152" t="s">
        <v>257</v>
      </c>
      <c r="AU32" s="28">
        <f t="shared" ref="AU32" si="18">+IF(AT32="si",15,"")</f>
        <v>15</v>
      </c>
      <c r="AV32" s="152" t="s">
        <v>117</v>
      </c>
      <c r="AW32" s="28">
        <f t="shared" si="6"/>
        <v>10</v>
      </c>
      <c r="AX32" s="111">
        <f t="shared" si="7"/>
        <v>100</v>
      </c>
      <c r="AY32" s="111" t="str">
        <f t="shared" si="8"/>
        <v>Fuerte</v>
      </c>
      <c r="AZ32" s="141" t="s">
        <v>118</v>
      </c>
      <c r="BA32" s="153" t="str">
        <f t="shared" si="9"/>
        <v>Fuerte</v>
      </c>
      <c r="BB32" s="22" t="str">
        <f>IFERROR(VLOOKUP((CONCATENATE(AY32,BA32)),Listados!$U$3:$V$11,2,FALSE),"")</f>
        <v>Fuerte</v>
      </c>
      <c r="BC32" s="111">
        <f t="shared" si="10"/>
        <v>100</v>
      </c>
      <c r="BD32" s="717"/>
      <c r="BE32" s="761"/>
      <c r="BF32" s="717"/>
      <c r="BG32" s="717"/>
      <c r="BH32" s="713"/>
      <c r="BI32" s="715"/>
      <c r="BJ32" s="713"/>
      <c r="BK32" s="713"/>
      <c r="BL32" s="799"/>
      <c r="BM32" s="800"/>
      <c r="BN32" s="801"/>
      <c r="BO32" s="799"/>
      <c r="BP32" s="800"/>
      <c r="BQ32" s="801"/>
      <c r="BR32" s="799"/>
      <c r="BS32" s="800"/>
      <c r="BT32" s="801"/>
    </row>
    <row r="33" spans="1:72" ht="73" thickBot="1">
      <c r="A33" s="724"/>
      <c r="B33" s="768"/>
      <c r="C33" s="730"/>
      <c r="D33" s="733"/>
      <c r="E33" s="161" t="s">
        <v>519</v>
      </c>
      <c r="F33" s="160" t="s">
        <v>16</v>
      </c>
      <c r="G33" s="736"/>
      <c r="H33" s="715"/>
      <c r="I33" s="715"/>
      <c r="J33" s="715"/>
      <c r="K33" s="715"/>
      <c r="L33" s="715"/>
      <c r="M33" s="715"/>
      <c r="N33" s="715"/>
      <c r="O33" s="715"/>
      <c r="P33" s="715"/>
      <c r="Q33" s="715"/>
      <c r="R33" s="715"/>
      <c r="S33" s="715"/>
      <c r="T33" s="715"/>
      <c r="U33" s="715"/>
      <c r="V33" s="715"/>
      <c r="W33" s="715"/>
      <c r="X33" s="715"/>
      <c r="Y33" s="715"/>
      <c r="Z33" s="768"/>
      <c r="AA33" s="722"/>
      <c r="AB33" s="727"/>
      <c r="AC33" s="720"/>
      <c r="AD33" s="722" t="str">
        <f>+IF(OR(AB33=1,AB33&lt;=5),"Moderado",IF(OR(AB33=6,AB33&lt;=11),"Mayor","Catastrófico"))</f>
        <v>Moderado</v>
      </c>
      <c r="AE33" s="720"/>
      <c r="AF33" s="715"/>
      <c r="AG33" s="167" t="s">
        <v>521</v>
      </c>
      <c r="AH33" s="168" t="s">
        <v>520</v>
      </c>
      <c r="AI33" s="169" t="s">
        <v>123</v>
      </c>
      <c r="AJ33" s="152" t="s">
        <v>116</v>
      </c>
      <c r="AK33" s="28"/>
      <c r="AL33" s="152" t="s">
        <v>116</v>
      </c>
      <c r="AM33" s="28"/>
      <c r="AN33" s="152" t="s">
        <v>116</v>
      </c>
      <c r="AO33" s="28"/>
      <c r="AP33" s="152" t="s">
        <v>116</v>
      </c>
      <c r="AQ33" s="28"/>
      <c r="AR33" s="152" t="s">
        <v>116</v>
      </c>
      <c r="AS33" s="28"/>
      <c r="AT33" s="152" t="s">
        <v>116</v>
      </c>
      <c r="AU33" s="28"/>
      <c r="AV33" s="152" t="s">
        <v>117</v>
      </c>
      <c r="AW33" s="28">
        <f t="shared" si="6"/>
        <v>10</v>
      </c>
      <c r="AX33" s="111">
        <f t="shared" si="7"/>
        <v>10</v>
      </c>
      <c r="AY33" s="111" t="str">
        <f t="shared" si="8"/>
        <v>Débil</v>
      </c>
      <c r="AZ33" s="141" t="s">
        <v>118</v>
      </c>
      <c r="BA33" s="153" t="str">
        <f t="shared" si="9"/>
        <v>Fuerte</v>
      </c>
      <c r="BB33" s="22" t="str">
        <f>IFERROR(VLOOKUP((CONCATENATE(AY33,BA33)),Listados!$U$3:$V$11,2,FALSE),"")</f>
        <v>Débil</v>
      </c>
      <c r="BC33" s="111">
        <f t="shared" si="10"/>
        <v>0</v>
      </c>
      <c r="BD33" s="717"/>
      <c r="BE33" s="761"/>
      <c r="BF33" s="717"/>
      <c r="BG33" s="717"/>
      <c r="BH33" s="713"/>
      <c r="BI33" s="715"/>
      <c r="BJ33" s="713"/>
      <c r="BK33" s="713"/>
      <c r="BL33" s="799"/>
      <c r="BM33" s="800"/>
      <c r="BN33" s="801"/>
      <c r="BO33" s="799"/>
      <c r="BP33" s="800"/>
      <c r="BQ33" s="801"/>
      <c r="BR33" s="799"/>
      <c r="BS33" s="800"/>
      <c r="BT33" s="801"/>
    </row>
    <row r="34" spans="1:72" ht="15" thickBot="1">
      <c r="A34" s="724"/>
      <c r="B34" s="768"/>
      <c r="C34" s="730"/>
      <c r="D34" s="733"/>
      <c r="E34" s="755"/>
      <c r="F34" s="769"/>
      <c r="G34" s="736"/>
      <c r="H34" s="715"/>
      <c r="I34" s="715"/>
      <c r="J34" s="715"/>
      <c r="K34" s="715"/>
      <c r="L34" s="715"/>
      <c r="M34" s="715"/>
      <c r="N34" s="715"/>
      <c r="O34" s="715"/>
      <c r="P34" s="715"/>
      <c r="Q34" s="715"/>
      <c r="R34" s="715"/>
      <c r="S34" s="715"/>
      <c r="T34" s="715"/>
      <c r="U34" s="715"/>
      <c r="V34" s="715"/>
      <c r="W34" s="715"/>
      <c r="X34" s="715"/>
      <c r="Y34" s="715"/>
      <c r="Z34" s="768"/>
      <c r="AA34" s="722"/>
      <c r="AB34" s="727"/>
      <c r="AC34" s="720"/>
      <c r="AD34" s="722" t="str">
        <f>+IF(OR(AB34=1,AB34&lt;=5),"Moderado",IF(OR(AB34=6,AB34&lt;=11),"Mayor","Catastrófico"))</f>
        <v>Moderado</v>
      </c>
      <c r="AE34" s="720"/>
      <c r="AF34" s="715"/>
      <c r="AG34" s="52"/>
      <c r="AH34" s="145"/>
      <c r="AI34" s="145"/>
      <c r="AJ34" s="145"/>
      <c r="AK34" s="28" t="str">
        <f t="shared" si="0"/>
        <v/>
      </c>
      <c r="AL34" s="145"/>
      <c r="AM34" s="28" t="str">
        <f t="shared" si="1"/>
        <v/>
      </c>
      <c r="AN34" s="140"/>
      <c r="AO34" s="28" t="str">
        <f t="shared" si="2"/>
        <v/>
      </c>
      <c r="AP34" s="140"/>
      <c r="AQ34" s="28" t="str">
        <f t="shared" si="3"/>
        <v/>
      </c>
      <c r="AR34" s="140"/>
      <c r="AS34" s="28" t="str">
        <f t="shared" si="4"/>
        <v/>
      </c>
      <c r="AT34" s="140"/>
      <c r="AU34" s="28" t="str">
        <f t="shared" si="5"/>
        <v/>
      </c>
      <c r="AV34" s="140"/>
      <c r="AW34" s="28" t="str">
        <f t="shared" si="6"/>
        <v/>
      </c>
      <c r="AX34" s="111" t="str">
        <f t="shared" si="7"/>
        <v/>
      </c>
      <c r="AY34" s="111" t="str">
        <f t="shared" si="8"/>
        <v/>
      </c>
      <c r="AZ34" s="141"/>
      <c r="BA34" s="153" t="str">
        <f t="shared" si="9"/>
        <v>Débil</v>
      </c>
      <c r="BB34" s="22" t="str">
        <f>IFERROR(VLOOKUP((CONCATENATE(AY34,BA34)),Listados!$U$3:$V$11,2,FALSE),"")</f>
        <v/>
      </c>
      <c r="BC34" s="111">
        <f t="shared" si="10"/>
        <v>100</v>
      </c>
      <c r="BD34" s="717"/>
      <c r="BE34" s="761"/>
      <c r="BF34" s="717"/>
      <c r="BG34" s="717"/>
      <c r="BH34" s="713"/>
      <c r="BI34" s="715"/>
      <c r="BJ34" s="713"/>
      <c r="BK34" s="713"/>
      <c r="BL34" s="799"/>
      <c r="BM34" s="800"/>
      <c r="BN34" s="801"/>
      <c r="BO34" s="799"/>
      <c r="BP34" s="800"/>
      <c r="BQ34" s="801"/>
      <c r="BR34" s="799"/>
      <c r="BS34" s="800"/>
      <c r="BT34" s="801"/>
    </row>
    <row r="35" spans="1:72" ht="15" thickBot="1">
      <c r="A35" s="724"/>
      <c r="B35" s="768"/>
      <c r="C35" s="730"/>
      <c r="D35" s="733"/>
      <c r="E35" s="756"/>
      <c r="F35" s="770"/>
      <c r="G35" s="736"/>
      <c r="H35" s="715"/>
      <c r="I35" s="715"/>
      <c r="J35" s="715"/>
      <c r="K35" s="715"/>
      <c r="L35" s="715"/>
      <c r="M35" s="715"/>
      <c r="N35" s="715"/>
      <c r="O35" s="715"/>
      <c r="P35" s="715"/>
      <c r="Q35" s="715"/>
      <c r="R35" s="715"/>
      <c r="S35" s="715"/>
      <c r="T35" s="715"/>
      <c r="U35" s="715"/>
      <c r="V35" s="715"/>
      <c r="W35" s="715"/>
      <c r="X35" s="715"/>
      <c r="Y35" s="715"/>
      <c r="Z35" s="768"/>
      <c r="AA35" s="722"/>
      <c r="AB35" s="727"/>
      <c r="AC35" s="720"/>
      <c r="AD35" s="722" t="str">
        <f>+IF(OR(AB35=1,AB35&lt;=5),"Moderado",IF(OR(AB35=6,AB35&lt;=11),"Mayor","Catastrófico"))</f>
        <v>Moderado</v>
      </c>
      <c r="AE35" s="720"/>
      <c r="AF35" s="715"/>
      <c r="AG35" s="52"/>
      <c r="AH35" s="145"/>
      <c r="AI35" s="145"/>
      <c r="AJ35" s="145"/>
      <c r="AK35" s="28" t="str">
        <f t="shared" si="0"/>
        <v/>
      </c>
      <c r="AL35" s="145"/>
      <c r="AM35" s="28" t="str">
        <f t="shared" si="1"/>
        <v/>
      </c>
      <c r="AN35" s="140"/>
      <c r="AO35" s="28" t="str">
        <f t="shared" si="2"/>
        <v/>
      </c>
      <c r="AP35" s="140"/>
      <c r="AQ35" s="28" t="str">
        <f t="shared" si="3"/>
        <v/>
      </c>
      <c r="AR35" s="140"/>
      <c r="AS35" s="28" t="str">
        <f t="shared" si="4"/>
        <v/>
      </c>
      <c r="AT35" s="140"/>
      <c r="AU35" s="28" t="str">
        <f t="shared" si="5"/>
        <v/>
      </c>
      <c r="AV35" s="140"/>
      <c r="AW35" s="28" t="str">
        <f t="shared" si="6"/>
        <v/>
      </c>
      <c r="AX35" s="111" t="str">
        <f t="shared" si="7"/>
        <v/>
      </c>
      <c r="AY35" s="111" t="str">
        <f t="shared" si="8"/>
        <v/>
      </c>
      <c r="AZ35" s="141"/>
      <c r="BA35" s="153" t="str">
        <f t="shared" si="9"/>
        <v>Débil</v>
      </c>
      <c r="BB35" s="22" t="str">
        <f>IFERROR(VLOOKUP((CONCATENATE(AY35,BA35)),Listados!$U$3:$V$11,2,FALSE),"")</f>
        <v/>
      </c>
      <c r="BC35" s="111">
        <f t="shared" si="10"/>
        <v>100</v>
      </c>
      <c r="BD35" s="717"/>
      <c r="BE35" s="761"/>
      <c r="BF35" s="717"/>
      <c r="BG35" s="717"/>
      <c r="BH35" s="713"/>
      <c r="BI35" s="715"/>
      <c r="BJ35" s="713"/>
      <c r="BK35" s="713"/>
      <c r="BL35" s="799"/>
      <c r="BM35" s="800"/>
      <c r="BN35" s="801"/>
      <c r="BO35" s="799"/>
      <c r="BP35" s="800"/>
      <c r="BQ35" s="801"/>
      <c r="BR35" s="799"/>
      <c r="BS35" s="800"/>
      <c r="BT35" s="801"/>
    </row>
    <row r="36" spans="1:72" ht="15" thickBot="1">
      <c r="A36" s="725"/>
      <c r="B36" s="773"/>
      <c r="C36" s="731"/>
      <c r="D36" s="734"/>
      <c r="E36" s="757"/>
      <c r="F36" s="771"/>
      <c r="G36" s="736"/>
      <c r="H36" s="715"/>
      <c r="I36" s="715"/>
      <c r="J36" s="715"/>
      <c r="K36" s="715"/>
      <c r="L36" s="715"/>
      <c r="M36" s="715"/>
      <c r="N36" s="715"/>
      <c r="O36" s="715"/>
      <c r="P36" s="715"/>
      <c r="Q36" s="715"/>
      <c r="R36" s="715"/>
      <c r="S36" s="715"/>
      <c r="T36" s="715"/>
      <c r="U36" s="715"/>
      <c r="V36" s="715"/>
      <c r="W36" s="715"/>
      <c r="X36" s="715"/>
      <c r="Y36" s="715"/>
      <c r="Z36" s="768"/>
      <c r="AA36" s="722"/>
      <c r="AB36" s="727"/>
      <c r="AC36" s="721"/>
      <c r="AD36" s="722" t="str">
        <f>+IF(OR(AB36=1,AB36&lt;=5),"Moderado",IF(OR(AB36=6,AB36&lt;=11),"Mayor","Catastrófico"))</f>
        <v>Moderado</v>
      </c>
      <c r="AE36" s="721"/>
      <c r="AF36" s="715"/>
      <c r="AG36" s="106"/>
      <c r="AH36" s="147"/>
      <c r="AI36" s="147"/>
      <c r="AJ36" s="145"/>
      <c r="AK36" s="28" t="str">
        <f t="shared" si="0"/>
        <v/>
      </c>
      <c r="AL36" s="145"/>
      <c r="AM36" s="28" t="str">
        <f t="shared" si="1"/>
        <v/>
      </c>
      <c r="AN36" s="140"/>
      <c r="AO36" s="28" t="str">
        <f t="shared" si="2"/>
        <v/>
      </c>
      <c r="AP36" s="140"/>
      <c r="AQ36" s="28" t="str">
        <f t="shared" si="3"/>
        <v/>
      </c>
      <c r="AR36" s="140"/>
      <c r="AS36" s="28" t="str">
        <f t="shared" si="4"/>
        <v/>
      </c>
      <c r="AT36" s="140"/>
      <c r="AU36" s="28" t="str">
        <f t="shared" si="5"/>
        <v/>
      </c>
      <c r="AV36" s="140"/>
      <c r="AW36" s="28" t="str">
        <f t="shared" si="6"/>
        <v/>
      </c>
      <c r="AX36" s="111" t="str">
        <f t="shared" si="7"/>
        <v/>
      </c>
      <c r="AY36" s="111" t="str">
        <f t="shared" si="8"/>
        <v/>
      </c>
      <c r="AZ36" s="141"/>
      <c r="BA36" s="153" t="str">
        <f t="shared" si="9"/>
        <v>Débil</v>
      </c>
      <c r="BB36" s="22" t="str">
        <f>IFERROR(VLOOKUP((CONCATENATE(AY36,BA36)),Listados!$U$3:$V$11,2,FALSE),"")</f>
        <v/>
      </c>
      <c r="BC36" s="111">
        <f t="shared" si="10"/>
        <v>100</v>
      </c>
      <c r="BD36" s="718"/>
      <c r="BE36" s="761"/>
      <c r="BF36" s="718"/>
      <c r="BG36" s="718"/>
      <c r="BH36" s="714"/>
      <c r="BI36" s="715"/>
      <c r="BJ36" s="714"/>
      <c r="BK36" s="714"/>
      <c r="BL36" s="799"/>
      <c r="BM36" s="800"/>
      <c r="BN36" s="801"/>
      <c r="BO36" s="799"/>
      <c r="BP36" s="800"/>
      <c r="BQ36" s="801"/>
      <c r="BR36" s="799"/>
      <c r="BS36" s="800"/>
      <c r="BT36" s="801"/>
    </row>
    <row r="37" spans="1:72" ht="87.5" thickBot="1">
      <c r="A37" s="723">
        <v>6</v>
      </c>
      <c r="B37" s="774" t="s">
        <v>68</v>
      </c>
      <c r="C37" s="729" t="str">
        <f>IFERROR(VLOOKUP(B37,Listados!B$3:C$20,2,FALSE),"")</f>
        <v>Gestión contra la Criminalidad y la Reincidencia</v>
      </c>
      <c r="D37" s="735" t="s">
        <v>522</v>
      </c>
      <c r="E37" s="161" t="s">
        <v>523</v>
      </c>
      <c r="F37" s="160" t="s">
        <v>30</v>
      </c>
      <c r="G37" s="735" t="s">
        <v>524</v>
      </c>
      <c r="H37" s="763" t="s">
        <v>116</v>
      </c>
      <c r="I37" s="763" t="s">
        <v>116</v>
      </c>
      <c r="J37" s="763" t="s">
        <v>116</v>
      </c>
      <c r="K37" s="763" t="s">
        <v>116</v>
      </c>
      <c r="L37" s="763" t="s">
        <v>116</v>
      </c>
      <c r="M37" s="763" t="s">
        <v>120</v>
      </c>
      <c r="N37" s="763" t="s">
        <v>116</v>
      </c>
      <c r="O37" s="763" t="s">
        <v>120</v>
      </c>
      <c r="P37" s="763" t="s">
        <v>116</v>
      </c>
      <c r="Q37" s="763" t="s">
        <v>116</v>
      </c>
      <c r="R37" s="763" t="s">
        <v>116</v>
      </c>
      <c r="S37" s="763" t="s">
        <v>116</v>
      </c>
      <c r="T37" s="763" t="s">
        <v>116</v>
      </c>
      <c r="U37" s="763" t="s">
        <v>116</v>
      </c>
      <c r="V37" s="763" t="s">
        <v>116</v>
      </c>
      <c r="W37" s="763" t="s">
        <v>120</v>
      </c>
      <c r="X37" s="763" t="s">
        <v>120</v>
      </c>
      <c r="Y37" s="763" t="s">
        <v>116</v>
      </c>
      <c r="Z37" s="762" t="s">
        <v>120</v>
      </c>
      <c r="AA37" s="721">
        <f>COUNTIF(H37:Z42, "SI")</f>
        <v>14</v>
      </c>
      <c r="AB37" s="762" t="s">
        <v>44</v>
      </c>
      <c r="AC37" s="719">
        <f>+VLOOKUP(AB37,Listados!$K$8:$L$12,2,0)</f>
        <v>3</v>
      </c>
      <c r="AD37" s="721" t="str">
        <f>+IF(OR(AA37=1,AA37&lt;=5),"Moderado",IF(OR(AA37=6,AA37&lt;=11),"Mayor","Catastrófico"))</f>
        <v>Catastrófico</v>
      </c>
      <c r="AE37" s="719" t="e">
        <f>+VLOOKUP(AD37,Listados!K43:L47,2,0)</f>
        <v>#N/A</v>
      </c>
      <c r="AF37" s="714" t="str">
        <f>IF(AND(AB37&lt;&gt;"",AD37&lt;&gt;""),VLOOKUP(AB37&amp;AD37,Listados!$M$3:$N$27,2,FALSE),"")</f>
        <v>Extremo</v>
      </c>
      <c r="AG37" s="165" t="s">
        <v>525</v>
      </c>
      <c r="AH37" s="164" t="s">
        <v>523</v>
      </c>
      <c r="AI37" s="143" t="s">
        <v>20</v>
      </c>
      <c r="AJ37" s="145"/>
      <c r="AK37" s="28" t="str">
        <f t="shared" si="0"/>
        <v/>
      </c>
      <c r="AL37" s="145"/>
      <c r="AM37" s="28" t="str">
        <f t="shared" si="1"/>
        <v/>
      </c>
      <c r="AN37" s="140"/>
      <c r="AO37" s="28" t="str">
        <f t="shared" si="2"/>
        <v/>
      </c>
      <c r="AP37" s="140"/>
      <c r="AQ37" s="28" t="str">
        <f t="shared" si="3"/>
        <v/>
      </c>
      <c r="AR37" s="140"/>
      <c r="AS37" s="28" t="str">
        <f t="shared" si="4"/>
        <v/>
      </c>
      <c r="AT37" s="140"/>
      <c r="AU37" s="28" t="str">
        <f t="shared" si="5"/>
        <v/>
      </c>
      <c r="AV37" s="140"/>
      <c r="AW37" s="28" t="str">
        <f t="shared" si="6"/>
        <v/>
      </c>
      <c r="AX37" s="111" t="str">
        <f t="shared" si="7"/>
        <v/>
      </c>
      <c r="AY37" s="111" t="str">
        <f t="shared" si="8"/>
        <v/>
      </c>
      <c r="AZ37" s="141"/>
      <c r="BA37" s="153" t="str">
        <f t="shared" si="9"/>
        <v>Débil</v>
      </c>
      <c r="BB37" s="22" t="str">
        <f>IFERROR(VLOOKUP((CONCATENATE(AY37,BA37)),Listados!$U$3:$V$11,2,FALSE),"")</f>
        <v/>
      </c>
      <c r="BC37" s="111">
        <f t="shared" si="10"/>
        <v>100</v>
      </c>
      <c r="BD37" s="716">
        <f>AVERAGE(BC37:BC42)</f>
        <v>100</v>
      </c>
      <c r="BE37" s="718" t="str">
        <f>IF(BD37&lt;=50, "Débil", IF(BD37&lt;=99,"Moderado","Fuerte"))</f>
        <v>Fuerte</v>
      </c>
      <c r="BF37" s="716">
        <f>+IF(BE37="Fuerte",2,IF(BE37="Moderado",1,0))</f>
        <v>2</v>
      </c>
      <c r="BG37" s="716">
        <f>+AC37-BF37</f>
        <v>1</v>
      </c>
      <c r="BH37" s="712" t="str">
        <f>+VLOOKUP(BG37,Listados!$J$18:$K$24,2,TRUE)</f>
        <v>Rara Vez</v>
      </c>
      <c r="BI37" s="714" t="str">
        <f>IF(ISBLANK(AD37),"",AD37)</f>
        <v>Catastrófico</v>
      </c>
      <c r="BJ37" s="712" t="str">
        <f>IF(AND(BH37&lt;&gt;"",BI37&lt;&gt;""),VLOOKUP(BH37&amp;BI37,Listados!$M$3:$N$27,2,FALSE),"")</f>
        <v>Extremo</v>
      </c>
      <c r="BK37" s="712" t="str">
        <f>+VLOOKUP(BJ37,Listados!$P$3:$Q$6,2,FALSE)</f>
        <v>Evitar el riesgo</v>
      </c>
      <c r="BL37" s="799"/>
      <c r="BM37" s="800"/>
      <c r="BN37" s="801"/>
      <c r="BO37" s="799"/>
      <c r="BP37" s="800"/>
      <c r="BQ37" s="801"/>
      <c r="BR37" s="799"/>
      <c r="BS37" s="800"/>
      <c r="BT37" s="801"/>
    </row>
    <row r="38" spans="1:72" ht="87.5" thickBot="1">
      <c r="A38" s="724"/>
      <c r="B38" s="775"/>
      <c r="C38" s="730"/>
      <c r="D38" s="736"/>
      <c r="E38" s="105" t="s">
        <v>526</v>
      </c>
      <c r="F38" s="160" t="s">
        <v>16</v>
      </c>
      <c r="G38" s="736"/>
      <c r="H38" s="764"/>
      <c r="I38" s="764"/>
      <c r="J38" s="764"/>
      <c r="K38" s="764"/>
      <c r="L38" s="764"/>
      <c r="M38" s="764"/>
      <c r="N38" s="764"/>
      <c r="O38" s="764"/>
      <c r="P38" s="764"/>
      <c r="Q38" s="764"/>
      <c r="R38" s="764"/>
      <c r="S38" s="764"/>
      <c r="T38" s="764"/>
      <c r="U38" s="764"/>
      <c r="V38" s="764"/>
      <c r="W38" s="764"/>
      <c r="X38" s="764"/>
      <c r="Y38" s="764"/>
      <c r="Z38" s="727"/>
      <c r="AA38" s="722"/>
      <c r="AB38" s="727"/>
      <c r="AC38" s="720"/>
      <c r="AD38" s="722" t="str">
        <f>+IF(OR(AB38=1,AB38&lt;=5),"Moderado",IF(OR(AB38=6,AB38&lt;=11),"Mayor","Catastrófico"))</f>
        <v>Moderado</v>
      </c>
      <c r="AE38" s="720"/>
      <c r="AF38" s="715"/>
      <c r="AG38" s="165" t="s">
        <v>527</v>
      </c>
      <c r="AH38" s="164" t="s">
        <v>523</v>
      </c>
      <c r="AI38" s="143" t="s">
        <v>123</v>
      </c>
      <c r="AJ38" s="145"/>
      <c r="AK38" s="28" t="str">
        <f t="shared" si="0"/>
        <v/>
      </c>
      <c r="AL38" s="145"/>
      <c r="AM38" s="28" t="str">
        <f t="shared" si="1"/>
        <v/>
      </c>
      <c r="AN38" s="140"/>
      <c r="AO38" s="28" t="str">
        <f t="shared" si="2"/>
        <v/>
      </c>
      <c r="AP38" s="140"/>
      <c r="AQ38" s="28" t="str">
        <f t="shared" si="3"/>
        <v/>
      </c>
      <c r="AR38" s="140"/>
      <c r="AS38" s="28" t="str">
        <f t="shared" si="4"/>
        <v/>
      </c>
      <c r="AT38" s="140"/>
      <c r="AU38" s="28" t="str">
        <f t="shared" si="5"/>
        <v/>
      </c>
      <c r="AV38" s="140"/>
      <c r="AW38" s="28" t="str">
        <f t="shared" si="6"/>
        <v/>
      </c>
      <c r="AX38" s="111" t="str">
        <f t="shared" si="7"/>
        <v/>
      </c>
      <c r="AY38" s="111" t="str">
        <f t="shared" si="8"/>
        <v/>
      </c>
      <c r="AZ38" s="141"/>
      <c r="BA38" s="153" t="str">
        <f t="shared" si="9"/>
        <v>Débil</v>
      </c>
      <c r="BB38" s="22" t="str">
        <f>IFERROR(VLOOKUP((CONCATENATE(AY38,BA38)),Listados!$U$3:$V$11,2,FALSE),"")</f>
        <v/>
      </c>
      <c r="BC38" s="111">
        <f t="shared" si="10"/>
        <v>100</v>
      </c>
      <c r="BD38" s="717"/>
      <c r="BE38" s="761"/>
      <c r="BF38" s="717"/>
      <c r="BG38" s="717"/>
      <c r="BH38" s="713"/>
      <c r="BI38" s="715"/>
      <c r="BJ38" s="713"/>
      <c r="BK38" s="713"/>
      <c r="BL38" s="799"/>
      <c r="BM38" s="800"/>
      <c r="BN38" s="801"/>
      <c r="BO38" s="799"/>
      <c r="BP38" s="800"/>
      <c r="BQ38" s="801"/>
      <c r="BR38" s="799"/>
      <c r="BS38" s="800"/>
      <c r="BT38" s="801"/>
    </row>
    <row r="39" spans="1:72" ht="73" thickBot="1">
      <c r="A39" s="724"/>
      <c r="B39" s="775"/>
      <c r="C39" s="730"/>
      <c r="D39" s="736"/>
      <c r="E39" s="159" t="s">
        <v>528</v>
      </c>
      <c r="F39" s="160" t="s">
        <v>16</v>
      </c>
      <c r="G39" s="736"/>
      <c r="H39" s="764"/>
      <c r="I39" s="764"/>
      <c r="J39" s="764"/>
      <c r="K39" s="764"/>
      <c r="L39" s="764"/>
      <c r="M39" s="764"/>
      <c r="N39" s="764"/>
      <c r="O39" s="764"/>
      <c r="P39" s="764"/>
      <c r="Q39" s="764"/>
      <c r="R39" s="764"/>
      <c r="S39" s="764"/>
      <c r="T39" s="764"/>
      <c r="U39" s="764"/>
      <c r="V39" s="764"/>
      <c r="W39" s="764"/>
      <c r="X39" s="764"/>
      <c r="Y39" s="764"/>
      <c r="Z39" s="727"/>
      <c r="AA39" s="722"/>
      <c r="AB39" s="727"/>
      <c r="AC39" s="720"/>
      <c r="AD39" s="722" t="str">
        <f>+IF(OR(AB39=1,AB39&lt;=5),"Moderado",IF(OR(AB39=6,AB39&lt;=11),"Mayor","Catastrófico"))</f>
        <v>Moderado</v>
      </c>
      <c r="AE39" s="720"/>
      <c r="AF39" s="715"/>
      <c r="AG39" s="165" t="s">
        <v>529</v>
      </c>
      <c r="AH39" s="164" t="s">
        <v>526</v>
      </c>
      <c r="AI39" s="143" t="s">
        <v>20</v>
      </c>
      <c r="AJ39" s="145"/>
      <c r="AK39" s="28" t="str">
        <f t="shared" si="0"/>
        <v/>
      </c>
      <c r="AL39" s="145"/>
      <c r="AM39" s="28" t="str">
        <f t="shared" si="1"/>
        <v/>
      </c>
      <c r="AN39" s="140"/>
      <c r="AO39" s="28" t="str">
        <f t="shared" si="2"/>
        <v/>
      </c>
      <c r="AP39" s="140"/>
      <c r="AQ39" s="28" t="str">
        <f t="shared" si="3"/>
        <v/>
      </c>
      <c r="AR39" s="140"/>
      <c r="AS39" s="28" t="str">
        <f t="shared" si="4"/>
        <v/>
      </c>
      <c r="AT39" s="140"/>
      <c r="AU39" s="28" t="str">
        <f t="shared" si="5"/>
        <v/>
      </c>
      <c r="AV39" s="140"/>
      <c r="AW39" s="28" t="str">
        <f t="shared" si="6"/>
        <v/>
      </c>
      <c r="AX39" s="111" t="str">
        <f t="shared" si="7"/>
        <v/>
      </c>
      <c r="AY39" s="111" t="str">
        <f t="shared" si="8"/>
        <v/>
      </c>
      <c r="AZ39" s="141"/>
      <c r="BA39" s="153" t="str">
        <f t="shared" si="9"/>
        <v>Débil</v>
      </c>
      <c r="BB39" s="22" t="str">
        <f>IFERROR(VLOOKUP((CONCATENATE(AY39,BA39)),Listados!$U$3:$V$11,2,FALSE),"")</f>
        <v/>
      </c>
      <c r="BC39" s="111">
        <f t="shared" si="10"/>
        <v>100</v>
      </c>
      <c r="BD39" s="717"/>
      <c r="BE39" s="761"/>
      <c r="BF39" s="717"/>
      <c r="BG39" s="717"/>
      <c r="BH39" s="713"/>
      <c r="BI39" s="715"/>
      <c r="BJ39" s="713"/>
      <c r="BK39" s="713"/>
      <c r="BL39" s="799"/>
      <c r="BM39" s="800"/>
      <c r="BN39" s="801"/>
      <c r="BO39" s="799"/>
      <c r="BP39" s="800"/>
      <c r="BQ39" s="801"/>
      <c r="BR39" s="799"/>
      <c r="BS39" s="800"/>
      <c r="BT39" s="801"/>
    </row>
    <row r="40" spans="1:72" ht="73" thickBot="1">
      <c r="A40" s="724"/>
      <c r="B40" s="775"/>
      <c r="C40" s="730"/>
      <c r="D40" s="736"/>
      <c r="E40" s="755"/>
      <c r="F40" s="769"/>
      <c r="G40" s="736"/>
      <c r="H40" s="764"/>
      <c r="I40" s="764"/>
      <c r="J40" s="764"/>
      <c r="K40" s="764"/>
      <c r="L40" s="764"/>
      <c r="M40" s="764"/>
      <c r="N40" s="764"/>
      <c r="O40" s="764"/>
      <c r="P40" s="764"/>
      <c r="Q40" s="764"/>
      <c r="R40" s="764"/>
      <c r="S40" s="764"/>
      <c r="T40" s="764"/>
      <c r="U40" s="764"/>
      <c r="V40" s="764"/>
      <c r="W40" s="764"/>
      <c r="X40" s="764"/>
      <c r="Y40" s="764"/>
      <c r="Z40" s="727"/>
      <c r="AA40" s="722"/>
      <c r="AB40" s="727"/>
      <c r="AC40" s="720"/>
      <c r="AD40" s="722" t="str">
        <f>+IF(OR(AB40=1,AB40&lt;=5),"Moderado",IF(OR(AB40=6,AB40&lt;=11),"Mayor","Catastrófico"))</f>
        <v>Moderado</v>
      </c>
      <c r="AE40" s="720"/>
      <c r="AF40" s="715"/>
      <c r="AG40" s="165" t="s">
        <v>529</v>
      </c>
      <c r="AH40" s="164" t="s">
        <v>528</v>
      </c>
      <c r="AI40" s="143" t="s">
        <v>20</v>
      </c>
      <c r="AJ40" s="145"/>
      <c r="AK40" s="28" t="str">
        <f t="shared" si="0"/>
        <v/>
      </c>
      <c r="AL40" s="145"/>
      <c r="AM40" s="28" t="str">
        <f t="shared" si="1"/>
        <v/>
      </c>
      <c r="AN40" s="140"/>
      <c r="AO40" s="28" t="str">
        <f t="shared" si="2"/>
        <v/>
      </c>
      <c r="AP40" s="140"/>
      <c r="AQ40" s="28" t="str">
        <f t="shared" si="3"/>
        <v/>
      </c>
      <c r="AR40" s="140"/>
      <c r="AS40" s="28" t="str">
        <f t="shared" si="4"/>
        <v/>
      </c>
      <c r="AT40" s="140"/>
      <c r="AU40" s="28" t="str">
        <f t="shared" si="5"/>
        <v/>
      </c>
      <c r="AV40" s="140"/>
      <c r="AW40" s="28" t="str">
        <f t="shared" si="6"/>
        <v/>
      </c>
      <c r="AX40" s="111" t="str">
        <f t="shared" si="7"/>
        <v/>
      </c>
      <c r="AY40" s="111" t="str">
        <f t="shared" si="8"/>
        <v/>
      </c>
      <c r="AZ40" s="141"/>
      <c r="BA40" s="153" t="str">
        <f t="shared" si="9"/>
        <v>Débil</v>
      </c>
      <c r="BB40" s="22" t="str">
        <f>IFERROR(VLOOKUP((CONCATENATE(AY40,BA40)),Listados!$U$3:$V$11,2,FALSE),"")</f>
        <v/>
      </c>
      <c r="BC40" s="111">
        <f t="shared" si="10"/>
        <v>100</v>
      </c>
      <c r="BD40" s="717"/>
      <c r="BE40" s="761"/>
      <c r="BF40" s="717"/>
      <c r="BG40" s="717"/>
      <c r="BH40" s="713"/>
      <c r="BI40" s="715"/>
      <c r="BJ40" s="713"/>
      <c r="BK40" s="713"/>
      <c r="BL40" s="799"/>
      <c r="BM40" s="800"/>
      <c r="BN40" s="801"/>
      <c r="BO40" s="799"/>
      <c r="BP40" s="800"/>
      <c r="BQ40" s="801"/>
      <c r="BR40" s="799"/>
      <c r="BS40" s="800"/>
      <c r="BT40" s="801"/>
    </row>
    <row r="41" spans="1:72" ht="15" thickBot="1">
      <c r="A41" s="724"/>
      <c r="B41" s="775"/>
      <c r="C41" s="730"/>
      <c r="D41" s="736"/>
      <c r="E41" s="756"/>
      <c r="F41" s="770"/>
      <c r="G41" s="736"/>
      <c r="H41" s="764"/>
      <c r="I41" s="764"/>
      <c r="J41" s="764"/>
      <c r="K41" s="764"/>
      <c r="L41" s="764"/>
      <c r="M41" s="764"/>
      <c r="N41" s="764"/>
      <c r="O41" s="764"/>
      <c r="P41" s="764"/>
      <c r="Q41" s="764"/>
      <c r="R41" s="764"/>
      <c r="S41" s="764"/>
      <c r="T41" s="764"/>
      <c r="U41" s="764"/>
      <c r="V41" s="764"/>
      <c r="W41" s="764"/>
      <c r="X41" s="764"/>
      <c r="Y41" s="764"/>
      <c r="Z41" s="727"/>
      <c r="AA41" s="722"/>
      <c r="AB41" s="727"/>
      <c r="AC41" s="720"/>
      <c r="AD41" s="722" t="str">
        <f>+IF(OR(AB41=1,AB41&lt;=5),"Moderado",IF(OR(AB41=6,AB41&lt;=11),"Mayor","Catastrófico"))</f>
        <v>Moderado</v>
      </c>
      <c r="AE41" s="720"/>
      <c r="AF41" s="715"/>
      <c r="AG41" s="52"/>
      <c r="AH41" s="61"/>
      <c r="AI41" s="61"/>
      <c r="AJ41" s="145"/>
      <c r="AK41" s="28" t="str">
        <f t="shared" si="0"/>
        <v/>
      </c>
      <c r="AL41" s="145"/>
      <c r="AM41" s="28" t="str">
        <f t="shared" si="1"/>
        <v/>
      </c>
      <c r="AN41" s="140"/>
      <c r="AO41" s="28" t="str">
        <f t="shared" si="2"/>
        <v/>
      </c>
      <c r="AP41" s="140"/>
      <c r="AQ41" s="28" t="str">
        <f t="shared" si="3"/>
        <v/>
      </c>
      <c r="AR41" s="140"/>
      <c r="AS41" s="28" t="str">
        <f t="shared" si="4"/>
        <v/>
      </c>
      <c r="AT41" s="140"/>
      <c r="AU41" s="28" t="str">
        <f t="shared" si="5"/>
        <v/>
      </c>
      <c r="AV41" s="140"/>
      <c r="AW41" s="28" t="str">
        <f t="shared" si="6"/>
        <v/>
      </c>
      <c r="AX41" s="111" t="str">
        <f t="shared" si="7"/>
        <v/>
      </c>
      <c r="AY41" s="111" t="str">
        <f t="shared" si="8"/>
        <v/>
      </c>
      <c r="AZ41" s="141"/>
      <c r="BA41" s="153" t="str">
        <f t="shared" si="9"/>
        <v>Débil</v>
      </c>
      <c r="BB41" s="22" t="str">
        <f>IFERROR(VLOOKUP((CONCATENATE(AY41,BA41)),Listados!$U$3:$V$11,2,FALSE),"")</f>
        <v/>
      </c>
      <c r="BC41" s="111">
        <f t="shared" si="10"/>
        <v>100</v>
      </c>
      <c r="BD41" s="717"/>
      <c r="BE41" s="761"/>
      <c r="BF41" s="717"/>
      <c r="BG41" s="717"/>
      <c r="BH41" s="713"/>
      <c r="BI41" s="715"/>
      <c r="BJ41" s="713"/>
      <c r="BK41" s="713"/>
      <c r="BL41" s="799"/>
      <c r="BM41" s="800"/>
      <c r="BN41" s="801"/>
      <c r="BO41" s="799"/>
      <c r="BP41" s="800"/>
      <c r="BQ41" s="801"/>
      <c r="BR41" s="799"/>
      <c r="BS41" s="800"/>
      <c r="BT41" s="801"/>
    </row>
    <row r="42" spans="1:72" ht="15" thickBot="1">
      <c r="A42" s="725"/>
      <c r="B42" s="775"/>
      <c r="C42" s="731"/>
      <c r="D42" s="781"/>
      <c r="E42" s="757"/>
      <c r="F42" s="771"/>
      <c r="G42" s="736"/>
      <c r="H42" s="764"/>
      <c r="I42" s="764"/>
      <c r="J42" s="764"/>
      <c r="K42" s="764"/>
      <c r="L42" s="764"/>
      <c r="M42" s="764"/>
      <c r="N42" s="764"/>
      <c r="O42" s="764"/>
      <c r="P42" s="764"/>
      <c r="Q42" s="764"/>
      <c r="R42" s="764"/>
      <c r="S42" s="764"/>
      <c r="T42" s="764"/>
      <c r="U42" s="764"/>
      <c r="V42" s="764"/>
      <c r="W42" s="764"/>
      <c r="X42" s="764"/>
      <c r="Y42" s="764"/>
      <c r="Z42" s="727"/>
      <c r="AA42" s="722"/>
      <c r="AB42" s="727"/>
      <c r="AC42" s="721"/>
      <c r="AD42" s="722" t="str">
        <f>+IF(OR(AB42=1,AB42&lt;=5),"Moderado",IF(OR(AB42=6,AB42&lt;=11),"Mayor","Catastrófico"))</f>
        <v>Moderado</v>
      </c>
      <c r="AE42" s="721"/>
      <c r="AF42" s="715"/>
      <c r="AG42" s="106"/>
      <c r="AH42" s="145"/>
      <c r="AI42" s="145"/>
      <c r="AJ42" s="145"/>
      <c r="AK42" s="28" t="str">
        <f t="shared" si="0"/>
        <v/>
      </c>
      <c r="AL42" s="145"/>
      <c r="AM42" s="28" t="str">
        <f t="shared" si="1"/>
        <v/>
      </c>
      <c r="AN42" s="140"/>
      <c r="AO42" s="28" t="str">
        <f t="shared" si="2"/>
        <v/>
      </c>
      <c r="AP42" s="140"/>
      <c r="AQ42" s="28" t="str">
        <f t="shared" si="3"/>
        <v/>
      </c>
      <c r="AR42" s="140"/>
      <c r="AS42" s="28" t="str">
        <f t="shared" si="4"/>
        <v/>
      </c>
      <c r="AT42" s="140"/>
      <c r="AU42" s="28" t="str">
        <f t="shared" si="5"/>
        <v/>
      </c>
      <c r="AV42" s="140"/>
      <c r="AW42" s="28" t="str">
        <f t="shared" si="6"/>
        <v/>
      </c>
      <c r="AX42" s="111" t="str">
        <f t="shared" si="7"/>
        <v/>
      </c>
      <c r="AY42" s="111" t="str">
        <f t="shared" si="8"/>
        <v/>
      </c>
      <c r="AZ42" s="141"/>
      <c r="BA42" s="153" t="str">
        <f t="shared" si="9"/>
        <v>Débil</v>
      </c>
      <c r="BB42" s="22" t="str">
        <f>IFERROR(VLOOKUP((CONCATENATE(AY42,BA42)),Listados!$U$3:$V$11,2,FALSE),"")</f>
        <v/>
      </c>
      <c r="BC42" s="111">
        <f t="shared" si="10"/>
        <v>100</v>
      </c>
      <c r="BD42" s="718"/>
      <c r="BE42" s="761"/>
      <c r="BF42" s="718"/>
      <c r="BG42" s="718"/>
      <c r="BH42" s="714"/>
      <c r="BI42" s="715"/>
      <c r="BJ42" s="714"/>
      <c r="BK42" s="714"/>
      <c r="BL42" s="799"/>
      <c r="BM42" s="800"/>
      <c r="BN42" s="801"/>
      <c r="BO42" s="799"/>
      <c r="BP42" s="800"/>
      <c r="BQ42" s="801"/>
      <c r="BR42" s="799"/>
      <c r="BS42" s="800"/>
      <c r="BT42" s="801"/>
    </row>
    <row r="43" spans="1:72" ht="73" thickBot="1">
      <c r="A43" s="723">
        <v>7</v>
      </c>
      <c r="B43" s="774" t="s">
        <v>68</v>
      </c>
      <c r="C43" s="729" t="str">
        <f>IFERROR(VLOOKUP(B43,Listados!B$3:C$20,2,FALSE),"")</f>
        <v>Gestión contra la Criminalidad y la Reincidencia</v>
      </c>
      <c r="D43" s="735" t="s">
        <v>530</v>
      </c>
      <c r="E43" s="108" t="s">
        <v>528</v>
      </c>
      <c r="F43" s="60" t="s">
        <v>16</v>
      </c>
      <c r="G43" s="735" t="s">
        <v>531</v>
      </c>
      <c r="H43" s="763" t="s">
        <v>116</v>
      </c>
      <c r="I43" s="763" t="s">
        <v>116</v>
      </c>
      <c r="J43" s="763" t="s">
        <v>116</v>
      </c>
      <c r="K43" s="763" t="s">
        <v>116</v>
      </c>
      <c r="L43" s="763" t="s">
        <v>116</v>
      </c>
      <c r="M43" s="763" t="s">
        <v>116</v>
      </c>
      <c r="N43" s="763" t="s">
        <v>116</v>
      </c>
      <c r="O43" s="763" t="s">
        <v>120</v>
      </c>
      <c r="P43" s="763" t="s">
        <v>116</v>
      </c>
      <c r="Q43" s="763" t="s">
        <v>116</v>
      </c>
      <c r="R43" s="763" t="s">
        <v>116</v>
      </c>
      <c r="S43" s="763" t="s">
        <v>116</v>
      </c>
      <c r="T43" s="763" t="s">
        <v>116</v>
      </c>
      <c r="U43" s="763" t="s">
        <v>116</v>
      </c>
      <c r="V43" s="763" t="s">
        <v>116</v>
      </c>
      <c r="W43" s="763" t="s">
        <v>120</v>
      </c>
      <c r="X43" s="763" t="s">
        <v>120</v>
      </c>
      <c r="Y43" s="763" t="s">
        <v>116</v>
      </c>
      <c r="Z43" s="762" t="s">
        <v>116</v>
      </c>
      <c r="AA43" s="721">
        <f>COUNTIF(H43:Z48, "SI")</f>
        <v>16</v>
      </c>
      <c r="AB43" s="762" t="s">
        <v>21</v>
      </c>
      <c r="AC43" s="719">
        <f>+VLOOKUP(AB43,Listados!$K$8:$L$12,2,0)</f>
        <v>1</v>
      </c>
      <c r="AD43" s="721" t="str">
        <f>+IF(OR(AA43=1,AA43&lt;=5),"Moderado",IF(OR(AA43=6,AA43&lt;=11),"Mayor","Catastrófico"))</f>
        <v>Catastrófico</v>
      </c>
      <c r="AE43" s="719" t="e">
        <f>+VLOOKUP(AD43,Listados!K49:L53,2,0)</f>
        <v>#N/A</v>
      </c>
      <c r="AF43" s="714" t="str">
        <f>IF(AND(AB43&lt;&gt;"",AD43&lt;&gt;""),VLOOKUP(AB43&amp;AD43,Listados!$M$3:$N$27,2,FALSE),"")</f>
        <v>Extremo</v>
      </c>
      <c r="AG43" s="166" t="s">
        <v>529</v>
      </c>
      <c r="AH43" s="143" t="s">
        <v>528</v>
      </c>
      <c r="AI43" s="145" t="s">
        <v>20</v>
      </c>
      <c r="AJ43" s="145"/>
      <c r="AK43" s="28" t="str">
        <f t="shared" si="0"/>
        <v/>
      </c>
      <c r="AL43" s="145"/>
      <c r="AM43" s="28" t="str">
        <f t="shared" si="1"/>
        <v/>
      </c>
      <c r="AN43" s="140"/>
      <c r="AO43" s="28" t="str">
        <f t="shared" si="2"/>
        <v/>
      </c>
      <c r="AP43" s="140"/>
      <c r="AQ43" s="28" t="str">
        <f t="shared" si="3"/>
        <v/>
      </c>
      <c r="AR43" s="140"/>
      <c r="AS43" s="28" t="str">
        <f t="shared" si="4"/>
        <v/>
      </c>
      <c r="AT43" s="140"/>
      <c r="AU43" s="28" t="str">
        <f t="shared" si="5"/>
        <v/>
      </c>
      <c r="AV43" s="140"/>
      <c r="AW43" s="28" t="str">
        <f t="shared" si="6"/>
        <v/>
      </c>
      <c r="AX43" s="111" t="str">
        <f t="shared" si="7"/>
        <v/>
      </c>
      <c r="AY43" s="111" t="str">
        <f t="shared" si="8"/>
        <v/>
      </c>
      <c r="AZ43" s="141"/>
      <c r="BA43" s="153" t="str">
        <f t="shared" si="9"/>
        <v>Débil</v>
      </c>
      <c r="BB43" s="22" t="str">
        <f>IFERROR(VLOOKUP((CONCATENATE(AY43,BA43)),Listados!$U$3:$V$11,2,FALSE),"")</f>
        <v/>
      </c>
      <c r="BC43" s="111">
        <f t="shared" si="10"/>
        <v>100</v>
      </c>
      <c r="BD43" s="716">
        <f>AVERAGE(BC43:BC48)</f>
        <v>100</v>
      </c>
      <c r="BE43" s="718" t="str">
        <f>IF(BD43&lt;=50, "Débil", IF(BD43&lt;=99,"Moderado","Fuerte"))</f>
        <v>Fuerte</v>
      </c>
      <c r="BF43" s="716">
        <f>+IF(BE43="Fuerte",2,IF(BE43="Moderado",1,0))</f>
        <v>2</v>
      </c>
      <c r="BG43" s="716">
        <f>+AC43-BF43</f>
        <v>-1</v>
      </c>
      <c r="BH43" s="712" t="str">
        <f>+VLOOKUP(BG43,Listados!$J$18:$K$24,2,TRUE)</f>
        <v>Rara Vez</v>
      </c>
      <c r="BI43" s="714" t="str">
        <f>IF(ISBLANK(AD43),"",AD43)</f>
        <v>Catastrófico</v>
      </c>
      <c r="BJ43" s="712" t="str">
        <f>IF(AND(BH43&lt;&gt;"",BI43&lt;&gt;""),VLOOKUP(BH43&amp;BI43,Listados!$M$3:$N$27,2,FALSE),"")</f>
        <v>Extremo</v>
      </c>
      <c r="BK43" s="712" t="str">
        <f>+VLOOKUP(BJ43,Listados!$P$3:$Q$6,2,FALSE)</f>
        <v>Evitar el riesgo</v>
      </c>
      <c r="BL43" s="799"/>
      <c r="BM43" s="800"/>
      <c r="BN43" s="801"/>
      <c r="BO43" s="799"/>
      <c r="BP43" s="800"/>
      <c r="BQ43" s="801"/>
      <c r="BR43" s="799"/>
      <c r="BS43" s="800"/>
      <c r="BT43" s="801"/>
    </row>
    <row r="44" spans="1:72" ht="73" thickBot="1">
      <c r="A44" s="724"/>
      <c r="B44" s="775"/>
      <c r="C44" s="730"/>
      <c r="D44" s="736"/>
      <c r="E44" s="159" t="s">
        <v>526</v>
      </c>
      <c r="F44" s="150" t="s">
        <v>16</v>
      </c>
      <c r="G44" s="736"/>
      <c r="H44" s="764"/>
      <c r="I44" s="764"/>
      <c r="J44" s="764"/>
      <c r="K44" s="764"/>
      <c r="L44" s="764"/>
      <c r="M44" s="764"/>
      <c r="N44" s="764"/>
      <c r="O44" s="764"/>
      <c r="P44" s="764"/>
      <c r="Q44" s="764"/>
      <c r="R44" s="764"/>
      <c r="S44" s="764"/>
      <c r="T44" s="764"/>
      <c r="U44" s="764"/>
      <c r="V44" s="764"/>
      <c r="W44" s="764"/>
      <c r="X44" s="764"/>
      <c r="Y44" s="764"/>
      <c r="Z44" s="727"/>
      <c r="AA44" s="722"/>
      <c r="AB44" s="727"/>
      <c r="AC44" s="720"/>
      <c r="AD44" s="722" t="str">
        <f>+IF(OR(AB44=1,AB44&lt;=5),"Moderado",IF(OR(AB44=6,AB44&lt;=11),"Mayor","Catastrófico"))</f>
        <v>Moderado</v>
      </c>
      <c r="AE44" s="720"/>
      <c r="AF44" s="715"/>
      <c r="AG44" s="166" t="s">
        <v>529</v>
      </c>
      <c r="AH44" s="143" t="s">
        <v>526</v>
      </c>
      <c r="AI44" s="145" t="s">
        <v>20</v>
      </c>
      <c r="AJ44" s="145"/>
      <c r="AK44" s="28" t="str">
        <f t="shared" si="0"/>
        <v/>
      </c>
      <c r="AL44" s="145"/>
      <c r="AM44" s="28" t="str">
        <f t="shared" si="1"/>
        <v/>
      </c>
      <c r="AN44" s="140"/>
      <c r="AO44" s="28" t="str">
        <f t="shared" si="2"/>
        <v/>
      </c>
      <c r="AP44" s="140"/>
      <c r="AQ44" s="28" t="str">
        <f t="shared" si="3"/>
        <v/>
      </c>
      <c r="AR44" s="140"/>
      <c r="AS44" s="28" t="str">
        <f t="shared" si="4"/>
        <v/>
      </c>
      <c r="AT44" s="140"/>
      <c r="AU44" s="28" t="str">
        <f t="shared" si="5"/>
        <v/>
      </c>
      <c r="AV44" s="140"/>
      <c r="AW44" s="28" t="str">
        <f t="shared" si="6"/>
        <v/>
      </c>
      <c r="AX44" s="111" t="str">
        <f t="shared" si="7"/>
        <v/>
      </c>
      <c r="AY44" s="111" t="str">
        <f t="shared" si="8"/>
        <v/>
      </c>
      <c r="AZ44" s="141"/>
      <c r="BA44" s="153" t="str">
        <f t="shared" si="9"/>
        <v>Débil</v>
      </c>
      <c r="BB44" s="22" t="str">
        <f>IFERROR(VLOOKUP((CONCATENATE(AY44,BA44)),Listados!$U$3:$V$11,2,FALSE),"")</f>
        <v/>
      </c>
      <c r="BC44" s="111">
        <f t="shared" si="10"/>
        <v>100</v>
      </c>
      <c r="BD44" s="717"/>
      <c r="BE44" s="761"/>
      <c r="BF44" s="717"/>
      <c r="BG44" s="717"/>
      <c r="BH44" s="713"/>
      <c r="BI44" s="715"/>
      <c r="BJ44" s="713"/>
      <c r="BK44" s="713"/>
      <c r="BL44" s="799"/>
      <c r="BM44" s="800"/>
      <c r="BN44" s="801"/>
      <c r="BO44" s="799"/>
      <c r="BP44" s="800"/>
      <c r="BQ44" s="801"/>
      <c r="BR44" s="799"/>
      <c r="BS44" s="800"/>
      <c r="BT44" s="801"/>
    </row>
    <row r="45" spans="1:72" ht="15" thickBot="1">
      <c r="A45" s="724"/>
      <c r="B45" s="775"/>
      <c r="C45" s="730"/>
      <c r="D45" s="736"/>
      <c r="E45" s="161"/>
      <c r="F45" s="150"/>
      <c r="G45" s="736"/>
      <c r="H45" s="764"/>
      <c r="I45" s="764"/>
      <c r="J45" s="764"/>
      <c r="K45" s="764"/>
      <c r="L45" s="764"/>
      <c r="M45" s="764"/>
      <c r="N45" s="764"/>
      <c r="O45" s="764"/>
      <c r="P45" s="764"/>
      <c r="Q45" s="764"/>
      <c r="R45" s="764"/>
      <c r="S45" s="764"/>
      <c r="T45" s="764"/>
      <c r="U45" s="764"/>
      <c r="V45" s="764"/>
      <c r="W45" s="764"/>
      <c r="X45" s="764"/>
      <c r="Y45" s="764"/>
      <c r="Z45" s="727"/>
      <c r="AA45" s="722"/>
      <c r="AB45" s="727"/>
      <c r="AC45" s="720"/>
      <c r="AD45" s="722" t="str">
        <f>+IF(OR(AB45=1,AB45&lt;=5),"Moderado",IF(OR(AB45=6,AB45&lt;=11),"Mayor","Catastrófico"))</f>
        <v>Moderado</v>
      </c>
      <c r="AE45" s="720"/>
      <c r="AF45" s="715"/>
      <c r="AG45" s="52"/>
      <c r="AH45" s="145"/>
      <c r="AI45" s="145"/>
      <c r="AJ45" s="145"/>
      <c r="AK45" s="28" t="str">
        <f t="shared" si="0"/>
        <v/>
      </c>
      <c r="AL45" s="145"/>
      <c r="AM45" s="28" t="str">
        <f t="shared" si="1"/>
        <v/>
      </c>
      <c r="AN45" s="140"/>
      <c r="AO45" s="28" t="str">
        <f t="shared" si="2"/>
        <v/>
      </c>
      <c r="AP45" s="140"/>
      <c r="AQ45" s="28" t="str">
        <f t="shared" si="3"/>
        <v/>
      </c>
      <c r="AR45" s="140"/>
      <c r="AS45" s="28" t="str">
        <f t="shared" si="4"/>
        <v/>
      </c>
      <c r="AT45" s="140"/>
      <c r="AU45" s="28" t="str">
        <f t="shared" si="5"/>
        <v/>
      </c>
      <c r="AV45" s="140"/>
      <c r="AW45" s="28" t="str">
        <f t="shared" si="6"/>
        <v/>
      </c>
      <c r="AX45" s="111" t="str">
        <f t="shared" si="7"/>
        <v/>
      </c>
      <c r="AY45" s="111" t="str">
        <f t="shared" si="8"/>
        <v/>
      </c>
      <c r="AZ45" s="141"/>
      <c r="BA45" s="153" t="str">
        <f t="shared" si="9"/>
        <v>Débil</v>
      </c>
      <c r="BB45" s="22" t="str">
        <f>IFERROR(VLOOKUP((CONCATENATE(AY45,BA45)),Listados!$U$3:$V$11,2,FALSE),"")</f>
        <v/>
      </c>
      <c r="BC45" s="111">
        <f t="shared" si="10"/>
        <v>100</v>
      </c>
      <c r="BD45" s="717"/>
      <c r="BE45" s="761"/>
      <c r="BF45" s="717"/>
      <c r="BG45" s="717"/>
      <c r="BH45" s="713"/>
      <c r="BI45" s="715"/>
      <c r="BJ45" s="713"/>
      <c r="BK45" s="713"/>
      <c r="BL45" s="799"/>
      <c r="BM45" s="800"/>
      <c r="BN45" s="801"/>
      <c r="BO45" s="799"/>
      <c r="BP45" s="800"/>
      <c r="BQ45" s="801"/>
      <c r="BR45" s="799"/>
      <c r="BS45" s="800"/>
      <c r="BT45" s="801"/>
    </row>
    <row r="46" spans="1:72" ht="15" thickBot="1">
      <c r="A46" s="724"/>
      <c r="B46" s="775"/>
      <c r="C46" s="730"/>
      <c r="D46" s="736"/>
      <c r="E46" s="755"/>
      <c r="F46" s="769"/>
      <c r="G46" s="736"/>
      <c r="H46" s="764"/>
      <c r="I46" s="764"/>
      <c r="J46" s="764"/>
      <c r="K46" s="764"/>
      <c r="L46" s="764"/>
      <c r="M46" s="764"/>
      <c r="N46" s="764"/>
      <c r="O46" s="764"/>
      <c r="P46" s="764"/>
      <c r="Q46" s="764"/>
      <c r="R46" s="764"/>
      <c r="S46" s="764"/>
      <c r="T46" s="764"/>
      <c r="U46" s="764"/>
      <c r="V46" s="764"/>
      <c r="W46" s="764"/>
      <c r="X46" s="764"/>
      <c r="Y46" s="764"/>
      <c r="Z46" s="727"/>
      <c r="AA46" s="722"/>
      <c r="AB46" s="727"/>
      <c r="AC46" s="720"/>
      <c r="AD46" s="722" t="str">
        <f>+IF(OR(AB46=1,AB46&lt;=5),"Moderado",IF(OR(AB46=6,AB46&lt;=11),"Mayor","Catastrófico"))</f>
        <v>Moderado</v>
      </c>
      <c r="AE46" s="720"/>
      <c r="AF46" s="715"/>
      <c r="AG46" s="52"/>
      <c r="AH46" s="145"/>
      <c r="AI46" s="145"/>
      <c r="AJ46" s="145"/>
      <c r="AK46" s="28" t="str">
        <f t="shared" si="0"/>
        <v/>
      </c>
      <c r="AL46" s="145"/>
      <c r="AM46" s="28" t="str">
        <f t="shared" si="1"/>
        <v/>
      </c>
      <c r="AN46" s="140"/>
      <c r="AO46" s="28" t="str">
        <f t="shared" si="2"/>
        <v/>
      </c>
      <c r="AP46" s="140"/>
      <c r="AQ46" s="28" t="str">
        <f t="shared" si="3"/>
        <v/>
      </c>
      <c r="AR46" s="140"/>
      <c r="AS46" s="28" t="str">
        <f t="shared" si="4"/>
        <v/>
      </c>
      <c r="AT46" s="140"/>
      <c r="AU46" s="28" t="str">
        <f t="shared" si="5"/>
        <v/>
      </c>
      <c r="AV46" s="140"/>
      <c r="AW46" s="28" t="str">
        <f t="shared" si="6"/>
        <v/>
      </c>
      <c r="AX46" s="111" t="str">
        <f t="shared" si="7"/>
        <v/>
      </c>
      <c r="AY46" s="111" t="str">
        <f t="shared" si="8"/>
        <v/>
      </c>
      <c r="AZ46" s="141"/>
      <c r="BA46" s="153" t="str">
        <f t="shared" si="9"/>
        <v>Débil</v>
      </c>
      <c r="BB46" s="22" t="str">
        <f>IFERROR(VLOOKUP((CONCATENATE(AY46,BA46)),Listados!$U$3:$V$11,2,FALSE),"")</f>
        <v/>
      </c>
      <c r="BC46" s="111">
        <f t="shared" si="10"/>
        <v>100</v>
      </c>
      <c r="BD46" s="717"/>
      <c r="BE46" s="761"/>
      <c r="BF46" s="717"/>
      <c r="BG46" s="717"/>
      <c r="BH46" s="713"/>
      <c r="BI46" s="715"/>
      <c r="BJ46" s="713"/>
      <c r="BK46" s="713"/>
      <c r="BL46" s="799"/>
      <c r="BM46" s="800"/>
      <c r="BN46" s="801"/>
      <c r="BO46" s="799"/>
      <c r="BP46" s="800"/>
      <c r="BQ46" s="801"/>
      <c r="BR46" s="799"/>
      <c r="BS46" s="800"/>
      <c r="BT46" s="801"/>
    </row>
    <row r="47" spans="1:72" ht="15" thickBot="1">
      <c r="A47" s="724"/>
      <c r="B47" s="775"/>
      <c r="C47" s="730"/>
      <c r="D47" s="736"/>
      <c r="E47" s="756"/>
      <c r="F47" s="770"/>
      <c r="G47" s="736"/>
      <c r="H47" s="764"/>
      <c r="I47" s="764"/>
      <c r="J47" s="764"/>
      <c r="K47" s="764"/>
      <c r="L47" s="764"/>
      <c r="M47" s="764"/>
      <c r="N47" s="764"/>
      <c r="O47" s="764"/>
      <c r="P47" s="764"/>
      <c r="Q47" s="764"/>
      <c r="R47" s="764"/>
      <c r="S47" s="764"/>
      <c r="T47" s="764"/>
      <c r="U47" s="764"/>
      <c r="V47" s="764"/>
      <c r="W47" s="764"/>
      <c r="X47" s="764"/>
      <c r="Y47" s="764"/>
      <c r="Z47" s="727"/>
      <c r="AA47" s="722"/>
      <c r="AB47" s="727"/>
      <c r="AC47" s="720"/>
      <c r="AD47" s="722" t="str">
        <f>+IF(OR(AB47=1,AB47&lt;=5),"Moderado",IF(OR(AB47=6,AB47&lt;=11),"Mayor","Catastrófico"))</f>
        <v>Moderado</v>
      </c>
      <c r="AE47" s="720"/>
      <c r="AF47" s="715"/>
      <c r="AG47" s="52"/>
      <c r="AH47" s="145"/>
      <c r="AI47" s="145"/>
      <c r="AJ47" s="145"/>
      <c r="AK47" s="28" t="str">
        <f t="shared" si="0"/>
        <v/>
      </c>
      <c r="AL47" s="145"/>
      <c r="AM47" s="28" t="str">
        <f t="shared" si="1"/>
        <v/>
      </c>
      <c r="AN47" s="140"/>
      <c r="AO47" s="28" t="str">
        <f t="shared" si="2"/>
        <v/>
      </c>
      <c r="AP47" s="140"/>
      <c r="AQ47" s="28" t="str">
        <f t="shared" si="3"/>
        <v/>
      </c>
      <c r="AR47" s="140"/>
      <c r="AS47" s="28" t="str">
        <f t="shared" si="4"/>
        <v/>
      </c>
      <c r="AT47" s="140"/>
      <c r="AU47" s="28" t="str">
        <f t="shared" si="5"/>
        <v/>
      </c>
      <c r="AV47" s="140"/>
      <c r="AW47" s="28" t="str">
        <f t="shared" si="6"/>
        <v/>
      </c>
      <c r="AX47" s="111" t="str">
        <f t="shared" si="7"/>
        <v/>
      </c>
      <c r="AY47" s="111" t="str">
        <f t="shared" si="8"/>
        <v/>
      </c>
      <c r="AZ47" s="141"/>
      <c r="BA47" s="153" t="str">
        <f t="shared" si="9"/>
        <v>Débil</v>
      </c>
      <c r="BB47" s="22" t="str">
        <f>IFERROR(VLOOKUP((CONCATENATE(AY47,BA47)),Listados!$U$3:$V$11,2,FALSE),"")</f>
        <v/>
      </c>
      <c r="BC47" s="111">
        <f t="shared" si="10"/>
        <v>100</v>
      </c>
      <c r="BD47" s="717"/>
      <c r="BE47" s="761"/>
      <c r="BF47" s="717"/>
      <c r="BG47" s="717"/>
      <c r="BH47" s="713"/>
      <c r="BI47" s="715"/>
      <c r="BJ47" s="713"/>
      <c r="BK47" s="713"/>
      <c r="BL47" s="799"/>
      <c r="BM47" s="800"/>
      <c r="BN47" s="801"/>
      <c r="BO47" s="799"/>
      <c r="BP47" s="800"/>
      <c r="BQ47" s="801"/>
      <c r="BR47" s="799"/>
      <c r="BS47" s="800"/>
      <c r="BT47" s="801"/>
    </row>
    <row r="48" spans="1:72" ht="15" thickBot="1">
      <c r="A48" s="725"/>
      <c r="B48" s="775"/>
      <c r="C48" s="731"/>
      <c r="D48" s="781"/>
      <c r="E48" s="757"/>
      <c r="F48" s="771"/>
      <c r="G48" s="736"/>
      <c r="H48" s="764"/>
      <c r="I48" s="764"/>
      <c r="J48" s="764"/>
      <c r="K48" s="764"/>
      <c r="L48" s="764"/>
      <c r="M48" s="764"/>
      <c r="N48" s="764"/>
      <c r="O48" s="764"/>
      <c r="P48" s="764"/>
      <c r="Q48" s="764"/>
      <c r="R48" s="764"/>
      <c r="S48" s="764"/>
      <c r="T48" s="764"/>
      <c r="U48" s="764"/>
      <c r="V48" s="764"/>
      <c r="W48" s="764"/>
      <c r="X48" s="764"/>
      <c r="Y48" s="764"/>
      <c r="Z48" s="727"/>
      <c r="AA48" s="722"/>
      <c r="AB48" s="727"/>
      <c r="AC48" s="721"/>
      <c r="AD48" s="722" t="str">
        <f>+IF(OR(AB48=1,AB48&lt;=5),"Moderado",IF(OR(AB48=6,AB48&lt;=11),"Mayor","Catastrófico"))</f>
        <v>Moderado</v>
      </c>
      <c r="AE48" s="721"/>
      <c r="AF48" s="715"/>
      <c r="AG48" s="106"/>
      <c r="AH48" s="145"/>
      <c r="AI48" s="145"/>
      <c r="AJ48" s="145"/>
      <c r="AK48" s="28" t="str">
        <f t="shared" si="0"/>
        <v/>
      </c>
      <c r="AL48" s="145"/>
      <c r="AM48" s="28" t="str">
        <f t="shared" si="1"/>
        <v/>
      </c>
      <c r="AN48" s="140"/>
      <c r="AO48" s="28" t="str">
        <f t="shared" si="2"/>
        <v/>
      </c>
      <c r="AP48" s="140"/>
      <c r="AQ48" s="28" t="str">
        <f t="shared" si="3"/>
        <v/>
      </c>
      <c r="AR48" s="140"/>
      <c r="AS48" s="28" t="str">
        <f t="shared" si="4"/>
        <v/>
      </c>
      <c r="AT48" s="140"/>
      <c r="AU48" s="28" t="str">
        <f t="shared" si="5"/>
        <v/>
      </c>
      <c r="AV48" s="140"/>
      <c r="AW48" s="28" t="str">
        <f t="shared" si="6"/>
        <v/>
      </c>
      <c r="AX48" s="111" t="str">
        <f t="shared" si="7"/>
        <v/>
      </c>
      <c r="AY48" s="111" t="str">
        <f t="shared" si="8"/>
        <v/>
      </c>
      <c r="AZ48" s="141"/>
      <c r="BA48" s="153" t="str">
        <f t="shared" si="9"/>
        <v>Débil</v>
      </c>
      <c r="BB48" s="22" t="str">
        <f>IFERROR(VLOOKUP((CONCATENATE(AY48,BA48)),Listados!$U$3:$V$11,2,FALSE),"")</f>
        <v/>
      </c>
      <c r="BC48" s="111">
        <f t="shared" si="10"/>
        <v>100</v>
      </c>
      <c r="BD48" s="718"/>
      <c r="BE48" s="761"/>
      <c r="BF48" s="718"/>
      <c r="BG48" s="718"/>
      <c r="BH48" s="714"/>
      <c r="BI48" s="715"/>
      <c r="BJ48" s="714"/>
      <c r="BK48" s="714"/>
      <c r="BL48" s="799"/>
      <c r="BM48" s="800"/>
      <c r="BN48" s="801"/>
      <c r="BO48" s="799"/>
      <c r="BP48" s="800"/>
      <c r="BQ48" s="801"/>
      <c r="BR48" s="799"/>
      <c r="BS48" s="800"/>
      <c r="BT48" s="801"/>
    </row>
    <row r="49" spans="1:72" ht="160" thickBot="1">
      <c r="A49" s="723">
        <v>8</v>
      </c>
      <c r="B49" s="774" t="s">
        <v>68</v>
      </c>
      <c r="C49" s="729" t="str">
        <f>IFERROR(VLOOKUP(B49,Listados!B$3:C$20,2,FALSE),"")</f>
        <v>Gestión contra la Criminalidad y la Reincidencia</v>
      </c>
      <c r="D49" s="735" t="s">
        <v>532</v>
      </c>
      <c r="E49" s="56" t="s">
        <v>533</v>
      </c>
      <c r="F49" s="60" t="s">
        <v>16</v>
      </c>
      <c r="G49" s="735" t="s">
        <v>534</v>
      </c>
      <c r="H49" s="763" t="s">
        <v>116</v>
      </c>
      <c r="I49" s="763" t="s">
        <v>116</v>
      </c>
      <c r="J49" s="763" t="s">
        <v>116</v>
      </c>
      <c r="K49" s="763" t="s">
        <v>116</v>
      </c>
      <c r="L49" s="763" t="s">
        <v>116</v>
      </c>
      <c r="M49" s="763" t="s">
        <v>120</v>
      </c>
      <c r="N49" s="763" t="s">
        <v>120</v>
      </c>
      <c r="O49" s="763" t="s">
        <v>120</v>
      </c>
      <c r="P49" s="763" t="s">
        <v>116</v>
      </c>
      <c r="Q49" s="763" t="s">
        <v>116</v>
      </c>
      <c r="R49" s="763" t="s">
        <v>116</v>
      </c>
      <c r="S49" s="763" t="s">
        <v>116</v>
      </c>
      <c r="T49" s="763" t="s">
        <v>116</v>
      </c>
      <c r="U49" s="763" t="s">
        <v>116</v>
      </c>
      <c r="V49" s="763" t="s">
        <v>116</v>
      </c>
      <c r="W49" s="763" t="s">
        <v>120</v>
      </c>
      <c r="X49" s="763" t="s">
        <v>120</v>
      </c>
      <c r="Y49" s="763" t="s">
        <v>116</v>
      </c>
      <c r="Z49" s="762" t="s">
        <v>120</v>
      </c>
      <c r="AA49" s="721">
        <f>COUNTIF(H49:Z54, "SI")</f>
        <v>13</v>
      </c>
      <c r="AB49" s="762" t="s">
        <v>21</v>
      </c>
      <c r="AC49" s="719">
        <f>+VLOOKUP(AB49,Listados!$K$8:$L$12,2,0)</f>
        <v>1</v>
      </c>
      <c r="AD49" s="721" t="str">
        <f>+IF(OR(AA49=1,AA49&lt;=5),"Moderado",IF(OR(AA49=6,AA49&lt;=11),"Mayor","Catastrófico"))</f>
        <v>Catastrófico</v>
      </c>
      <c r="AE49" s="719" t="e">
        <f>+VLOOKUP(AD49,Listados!K55:L59,2,0)</f>
        <v>#N/A</v>
      </c>
      <c r="AF49" s="714" t="str">
        <f>IF(AND(AB49&lt;&gt;"",AD49&lt;&gt;""),VLOOKUP(AB49&amp;AD49,Listados!$M$3:$N$27,2,FALSE),"")</f>
        <v>Extremo</v>
      </c>
      <c r="AG49" s="166" t="s">
        <v>535</v>
      </c>
      <c r="AH49" s="170" t="s">
        <v>533</v>
      </c>
      <c r="AI49" s="170" t="s">
        <v>20</v>
      </c>
      <c r="AJ49" s="145"/>
      <c r="AK49" s="28" t="str">
        <f t="shared" si="0"/>
        <v/>
      </c>
      <c r="AL49" s="145"/>
      <c r="AM49" s="28" t="str">
        <f t="shared" si="1"/>
        <v/>
      </c>
      <c r="AN49" s="140"/>
      <c r="AO49" s="28" t="str">
        <f t="shared" si="2"/>
        <v/>
      </c>
      <c r="AP49" s="140"/>
      <c r="AQ49" s="28" t="str">
        <f t="shared" si="3"/>
        <v/>
      </c>
      <c r="AR49" s="140"/>
      <c r="AS49" s="28" t="str">
        <f t="shared" si="4"/>
        <v/>
      </c>
      <c r="AT49" s="140"/>
      <c r="AU49" s="28" t="str">
        <f t="shared" si="5"/>
        <v/>
      </c>
      <c r="AV49" s="140"/>
      <c r="AW49" s="28" t="str">
        <f t="shared" si="6"/>
        <v/>
      </c>
      <c r="AX49" s="111" t="str">
        <f t="shared" si="7"/>
        <v/>
      </c>
      <c r="AY49" s="111" t="str">
        <f t="shared" si="8"/>
        <v/>
      </c>
      <c r="AZ49" s="141"/>
      <c r="BA49" s="153" t="str">
        <f t="shared" si="9"/>
        <v>Débil</v>
      </c>
      <c r="BB49" s="22" t="str">
        <f>IFERROR(VLOOKUP((CONCATENATE(AY49,BA49)),Listados!$U$3:$V$11,2,FALSE),"")</f>
        <v/>
      </c>
      <c r="BC49" s="111">
        <f t="shared" si="10"/>
        <v>100</v>
      </c>
      <c r="BD49" s="716">
        <f>AVERAGE(BC49:BC54)</f>
        <v>100</v>
      </c>
      <c r="BE49" s="718" t="str">
        <f>IF(BD49&lt;=50, "Débil", IF(BD49&lt;=99,"Moderado","Fuerte"))</f>
        <v>Fuerte</v>
      </c>
      <c r="BF49" s="716">
        <f>+IF(BE49="Fuerte",2,IF(BE49="Moderado",1,0))</f>
        <v>2</v>
      </c>
      <c r="BG49" s="716">
        <f>+AC49-BF49</f>
        <v>-1</v>
      </c>
      <c r="BH49" s="712" t="str">
        <f>+VLOOKUP(BG49,Listados!$J$18:$K$24,2,TRUE)</f>
        <v>Rara Vez</v>
      </c>
      <c r="BI49" s="714" t="str">
        <f>IF(ISBLANK(AD49),"",AD49)</f>
        <v>Catastrófico</v>
      </c>
      <c r="BJ49" s="712" t="str">
        <f>IF(AND(BH49&lt;&gt;"",BI49&lt;&gt;""),VLOOKUP(BH49&amp;BI49,Listados!$M$3:$N$27,2,FALSE),"")</f>
        <v>Extremo</v>
      </c>
      <c r="BK49" s="712" t="str">
        <f>+VLOOKUP(BJ49,Listados!$P$3:$Q$6,2,FALSE)</f>
        <v>Evitar el riesgo</v>
      </c>
      <c r="BL49" s="799"/>
      <c r="BM49" s="800"/>
      <c r="BN49" s="801"/>
      <c r="BO49" s="799"/>
      <c r="BP49" s="800"/>
      <c r="BQ49" s="801"/>
      <c r="BR49" s="799"/>
      <c r="BS49" s="800"/>
      <c r="BT49" s="801"/>
    </row>
    <row r="50" spans="1:72" ht="145.5" thickBot="1">
      <c r="A50" s="724"/>
      <c r="B50" s="775"/>
      <c r="C50" s="730"/>
      <c r="D50" s="736"/>
      <c r="E50" s="161" t="s">
        <v>536</v>
      </c>
      <c r="F50" s="150" t="s">
        <v>30</v>
      </c>
      <c r="G50" s="736"/>
      <c r="H50" s="764"/>
      <c r="I50" s="764"/>
      <c r="J50" s="764"/>
      <c r="K50" s="764"/>
      <c r="L50" s="764"/>
      <c r="M50" s="764"/>
      <c r="N50" s="764"/>
      <c r="O50" s="764"/>
      <c r="P50" s="764"/>
      <c r="Q50" s="764"/>
      <c r="R50" s="764"/>
      <c r="S50" s="764"/>
      <c r="T50" s="764"/>
      <c r="U50" s="764"/>
      <c r="V50" s="764"/>
      <c r="W50" s="764"/>
      <c r="X50" s="764"/>
      <c r="Y50" s="764"/>
      <c r="Z50" s="727"/>
      <c r="AA50" s="722"/>
      <c r="AB50" s="727"/>
      <c r="AC50" s="720"/>
      <c r="AD50" s="722" t="str">
        <f>+IF(OR(AB50=1,AB50&lt;=5),"Moderado",IF(OR(AB50=6,AB50&lt;=11),"Mayor","Catastrófico"))</f>
        <v>Moderado</v>
      </c>
      <c r="AE50" s="720"/>
      <c r="AF50" s="715"/>
      <c r="AG50" s="166" t="s">
        <v>537</v>
      </c>
      <c r="AH50" s="170" t="s">
        <v>536</v>
      </c>
      <c r="AI50" s="170" t="s">
        <v>20</v>
      </c>
      <c r="AJ50" s="145"/>
      <c r="AK50" s="28" t="str">
        <f t="shared" si="0"/>
        <v/>
      </c>
      <c r="AL50" s="145"/>
      <c r="AM50" s="28" t="str">
        <f t="shared" si="1"/>
        <v/>
      </c>
      <c r="AN50" s="140"/>
      <c r="AO50" s="28" t="str">
        <f t="shared" si="2"/>
        <v/>
      </c>
      <c r="AP50" s="140"/>
      <c r="AQ50" s="28" t="str">
        <f t="shared" si="3"/>
        <v/>
      </c>
      <c r="AR50" s="140"/>
      <c r="AS50" s="28" t="str">
        <f t="shared" si="4"/>
        <v/>
      </c>
      <c r="AT50" s="140"/>
      <c r="AU50" s="28" t="str">
        <f t="shared" si="5"/>
        <v/>
      </c>
      <c r="AV50" s="140"/>
      <c r="AW50" s="28" t="str">
        <f t="shared" si="6"/>
        <v/>
      </c>
      <c r="AX50" s="111" t="str">
        <f t="shared" si="7"/>
        <v/>
      </c>
      <c r="AY50" s="111" t="str">
        <f t="shared" si="8"/>
        <v/>
      </c>
      <c r="AZ50" s="141"/>
      <c r="BA50" s="153" t="str">
        <f t="shared" si="9"/>
        <v>Débil</v>
      </c>
      <c r="BB50" s="22" t="str">
        <f>IFERROR(VLOOKUP((CONCATENATE(AY50,BA50)),Listados!$U$3:$V$11,2,FALSE),"")</f>
        <v/>
      </c>
      <c r="BC50" s="111">
        <f t="shared" si="10"/>
        <v>100</v>
      </c>
      <c r="BD50" s="717"/>
      <c r="BE50" s="761"/>
      <c r="BF50" s="717"/>
      <c r="BG50" s="717"/>
      <c r="BH50" s="713"/>
      <c r="BI50" s="715"/>
      <c r="BJ50" s="713"/>
      <c r="BK50" s="713"/>
      <c r="BL50" s="799"/>
      <c r="BM50" s="800"/>
      <c r="BN50" s="801"/>
      <c r="BO50" s="799"/>
      <c r="BP50" s="800"/>
      <c r="BQ50" s="801"/>
      <c r="BR50" s="799"/>
      <c r="BS50" s="800"/>
      <c r="BT50" s="801"/>
    </row>
    <row r="51" spans="1:72" ht="145.5" thickBot="1">
      <c r="A51" s="724"/>
      <c r="B51" s="775"/>
      <c r="C51" s="730"/>
      <c r="D51" s="736"/>
      <c r="E51" s="161" t="s">
        <v>538</v>
      </c>
      <c r="F51" s="150" t="s">
        <v>30</v>
      </c>
      <c r="G51" s="736"/>
      <c r="H51" s="764"/>
      <c r="I51" s="764"/>
      <c r="J51" s="764"/>
      <c r="K51" s="764"/>
      <c r="L51" s="764"/>
      <c r="M51" s="764"/>
      <c r="N51" s="764"/>
      <c r="O51" s="764"/>
      <c r="P51" s="764"/>
      <c r="Q51" s="764"/>
      <c r="R51" s="764"/>
      <c r="S51" s="764"/>
      <c r="T51" s="764"/>
      <c r="U51" s="764"/>
      <c r="V51" s="764"/>
      <c r="W51" s="764"/>
      <c r="X51" s="764"/>
      <c r="Y51" s="764"/>
      <c r="Z51" s="727"/>
      <c r="AA51" s="722"/>
      <c r="AB51" s="727"/>
      <c r="AC51" s="720"/>
      <c r="AD51" s="722" t="str">
        <f>+IF(OR(AB51=1,AB51&lt;=5),"Moderado",IF(OR(AB51=6,AB51&lt;=11),"Mayor","Catastrófico"))</f>
        <v>Moderado</v>
      </c>
      <c r="AE51" s="720"/>
      <c r="AF51" s="715"/>
      <c r="AG51" s="166" t="s">
        <v>537</v>
      </c>
      <c r="AH51" s="170" t="s">
        <v>538</v>
      </c>
      <c r="AI51" s="170" t="s">
        <v>20</v>
      </c>
      <c r="AJ51" s="145"/>
      <c r="AK51" s="28" t="str">
        <f t="shared" si="0"/>
        <v/>
      </c>
      <c r="AL51" s="145"/>
      <c r="AM51" s="28" t="str">
        <f t="shared" si="1"/>
        <v/>
      </c>
      <c r="AN51" s="140"/>
      <c r="AO51" s="28" t="str">
        <f t="shared" si="2"/>
        <v/>
      </c>
      <c r="AP51" s="140"/>
      <c r="AQ51" s="28" t="str">
        <f t="shared" si="3"/>
        <v/>
      </c>
      <c r="AR51" s="140"/>
      <c r="AS51" s="28" t="str">
        <f t="shared" si="4"/>
        <v/>
      </c>
      <c r="AT51" s="140"/>
      <c r="AU51" s="28" t="str">
        <f t="shared" si="5"/>
        <v/>
      </c>
      <c r="AV51" s="140"/>
      <c r="AW51" s="28" t="str">
        <f t="shared" si="6"/>
        <v/>
      </c>
      <c r="AX51" s="111" t="str">
        <f t="shared" si="7"/>
        <v/>
      </c>
      <c r="AY51" s="111" t="str">
        <f t="shared" si="8"/>
        <v/>
      </c>
      <c r="AZ51" s="141"/>
      <c r="BA51" s="153" t="str">
        <f t="shared" si="9"/>
        <v>Débil</v>
      </c>
      <c r="BB51" s="22" t="str">
        <f>IFERROR(VLOOKUP((CONCATENATE(AY51,BA51)),Listados!$U$3:$V$11,2,FALSE),"")</f>
        <v/>
      </c>
      <c r="BC51" s="111">
        <f t="shared" si="10"/>
        <v>100</v>
      </c>
      <c r="BD51" s="717"/>
      <c r="BE51" s="761"/>
      <c r="BF51" s="717"/>
      <c r="BG51" s="717"/>
      <c r="BH51" s="713"/>
      <c r="BI51" s="715"/>
      <c r="BJ51" s="713"/>
      <c r="BK51" s="713"/>
      <c r="BL51" s="799"/>
      <c r="BM51" s="800"/>
      <c r="BN51" s="801"/>
      <c r="BO51" s="799"/>
      <c r="BP51" s="800"/>
      <c r="BQ51" s="801"/>
      <c r="BR51" s="799"/>
      <c r="BS51" s="800"/>
      <c r="BT51" s="801"/>
    </row>
    <row r="52" spans="1:72" ht="145.5" thickBot="1">
      <c r="A52" s="724"/>
      <c r="B52" s="775"/>
      <c r="C52" s="730"/>
      <c r="D52" s="736"/>
      <c r="E52" s="755" t="s">
        <v>539</v>
      </c>
      <c r="F52" s="769" t="s">
        <v>30</v>
      </c>
      <c r="G52" s="736"/>
      <c r="H52" s="764"/>
      <c r="I52" s="764"/>
      <c r="J52" s="764"/>
      <c r="K52" s="764"/>
      <c r="L52" s="764"/>
      <c r="M52" s="764"/>
      <c r="N52" s="764"/>
      <c r="O52" s="764"/>
      <c r="P52" s="764"/>
      <c r="Q52" s="764"/>
      <c r="R52" s="764"/>
      <c r="S52" s="764"/>
      <c r="T52" s="764"/>
      <c r="U52" s="764"/>
      <c r="V52" s="764"/>
      <c r="W52" s="764"/>
      <c r="X52" s="764"/>
      <c r="Y52" s="764"/>
      <c r="Z52" s="727"/>
      <c r="AA52" s="722"/>
      <c r="AB52" s="727"/>
      <c r="AC52" s="720"/>
      <c r="AD52" s="722" t="str">
        <f>+IF(OR(AB52=1,AB52&lt;=5),"Moderado",IF(OR(AB52=6,AB52&lt;=11),"Mayor","Catastrófico"))</f>
        <v>Moderado</v>
      </c>
      <c r="AE52" s="720"/>
      <c r="AF52" s="715"/>
      <c r="AG52" s="166" t="s">
        <v>537</v>
      </c>
      <c r="AH52" s="170" t="s">
        <v>539</v>
      </c>
      <c r="AI52" s="170" t="s">
        <v>20</v>
      </c>
      <c r="AJ52" s="145"/>
      <c r="AK52" s="28" t="str">
        <f t="shared" si="0"/>
        <v/>
      </c>
      <c r="AL52" s="145"/>
      <c r="AM52" s="28" t="str">
        <f t="shared" si="1"/>
        <v/>
      </c>
      <c r="AN52" s="140"/>
      <c r="AO52" s="28" t="str">
        <f t="shared" si="2"/>
        <v/>
      </c>
      <c r="AP52" s="140"/>
      <c r="AQ52" s="28" t="str">
        <f t="shared" si="3"/>
        <v/>
      </c>
      <c r="AR52" s="140"/>
      <c r="AS52" s="28" t="str">
        <f t="shared" si="4"/>
        <v/>
      </c>
      <c r="AT52" s="140"/>
      <c r="AU52" s="28" t="str">
        <f t="shared" si="5"/>
        <v/>
      </c>
      <c r="AV52" s="140"/>
      <c r="AW52" s="28" t="str">
        <f t="shared" si="6"/>
        <v/>
      </c>
      <c r="AX52" s="111" t="str">
        <f t="shared" si="7"/>
        <v/>
      </c>
      <c r="AY52" s="111" t="str">
        <f t="shared" si="8"/>
        <v/>
      </c>
      <c r="AZ52" s="141"/>
      <c r="BA52" s="153" t="str">
        <f t="shared" si="9"/>
        <v>Débil</v>
      </c>
      <c r="BB52" s="22" t="str">
        <f>IFERROR(VLOOKUP((CONCATENATE(AY52,BA52)),Listados!$U$3:$V$11,2,FALSE),"")</f>
        <v/>
      </c>
      <c r="BC52" s="111">
        <f t="shared" si="10"/>
        <v>100</v>
      </c>
      <c r="BD52" s="717"/>
      <c r="BE52" s="761"/>
      <c r="BF52" s="717"/>
      <c r="BG52" s="717"/>
      <c r="BH52" s="713"/>
      <c r="BI52" s="715"/>
      <c r="BJ52" s="713"/>
      <c r="BK52" s="713"/>
      <c r="BL52" s="799"/>
      <c r="BM52" s="800"/>
      <c r="BN52" s="801"/>
      <c r="BO52" s="799"/>
      <c r="BP52" s="800"/>
      <c r="BQ52" s="801"/>
      <c r="BR52" s="799"/>
      <c r="BS52" s="800"/>
      <c r="BT52" s="801"/>
    </row>
    <row r="53" spans="1:72" ht="15" thickBot="1">
      <c r="A53" s="724"/>
      <c r="B53" s="775"/>
      <c r="C53" s="730"/>
      <c r="D53" s="736"/>
      <c r="E53" s="756"/>
      <c r="F53" s="770"/>
      <c r="G53" s="736"/>
      <c r="H53" s="764"/>
      <c r="I53" s="764"/>
      <c r="J53" s="764"/>
      <c r="K53" s="764"/>
      <c r="L53" s="764"/>
      <c r="M53" s="764"/>
      <c r="N53" s="764"/>
      <c r="O53" s="764"/>
      <c r="P53" s="764"/>
      <c r="Q53" s="764"/>
      <c r="R53" s="764"/>
      <c r="S53" s="764"/>
      <c r="T53" s="764"/>
      <c r="U53" s="764"/>
      <c r="V53" s="764"/>
      <c r="W53" s="764"/>
      <c r="X53" s="764"/>
      <c r="Y53" s="764"/>
      <c r="Z53" s="727"/>
      <c r="AA53" s="722"/>
      <c r="AB53" s="727"/>
      <c r="AC53" s="720"/>
      <c r="AD53" s="722" t="str">
        <f>+IF(OR(AB53=1,AB53&lt;=5),"Moderado",IF(OR(AB53=6,AB53&lt;=11),"Mayor","Catastrófico"))</f>
        <v>Moderado</v>
      </c>
      <c r="AE53" s="720"/>
      <c r="AF53" s="715"/>
      <c r="AG53" s="52"/>
      <c r="AH53" s="145"/>
      <c r="AI53" s="145"/>
      <c r="AJ53" s="145"/>
      <c r="AK53" s="28" t="str">
        <f t="shared" si="0"/>
        <v/>
      </c>
      <c r="AL53" s="145"/>
      <c r="AM53" s="28" t="str">
        <f t="shared" si="1"/>
        <v/>
      </c>
      <c r="AN53" s="140"/>
      <c r="AO53" s="28" t="str">
        <f t="shared" si="2"/>
        <v/>
      </c>
      <c r="AP53" s="140"/>
      <c r="AQ53" s="28" t="str">
        <f t="shared" si="3"/>
        <v/>
      </c>
      <c r="AR53" s="140"/>
      <c r="AS53" s="28" t="str">
        <f t="shared" si="4"/>
        <v/>
      </c>
      <c r="AT53" s="140"/>
      <c r="AU53" s="28" t="str">
        <f t="shared" si="5"/>
        <v/>
      </c>
      <c r="AV53" s="140"/>
      <c r="AW53" s="28" t="str">
        <f t="shared" si="6"/>
        <v/>
      </c>
      <c r="AX53" s="111" t="str">
        <f t="shared" si="7"/>
        <v/>
      </c>
      <c r="AY53" s="111" t="str">
        <f t="shared" si="8"/>
        <v/>
      </c>
      <c r="AZ53" s="141"/>
      <c r="BA53" s="153" t="str">
        <f t="shared" si="9"/>
        <v>Débil</v>
      </c>
      <c r="BB53" s="22" t="str">
        <f>IFERROR(VLOOKUP((CONCATENATE(AY53,BA53)),Listados!$U$3:$V$11,2,FALSE),"")</f>
        <v/>
      </c>
      <c r="BC53" s="111">
        <f t="shared" si="10"/>
        <v>100</v>
      </c>
      <c r="BD53" s="717"/>
      <c r="BE53" s="761"/>
      <c r="BF53" s="717"/>
      <c r="BG53" s="717"/>
      <c r="BH53" s="713"/>
      <c r="BI53" s="715"/>
      <c r="BJ53" s="713"/>
      <c r="BK53" s="713"/>
      <c r="BL53" s="799"/>
      <c r="BM53" s="800"/>
      <c r="BN53" s="801"/>
      <c r="BO53" s="799"/>
      <c r="BP53" s="800"/>
      <c r="BQ53" s="801"/>
      <c r="BR53" s="799"/>
      <c r="BS53" s="800"/>
      <c r="BT53" s="801"/>
    </row>
    <row r="54" spans="1:72" ht="15" thickBot="1">
      <c r="A54" s="725"/>
      <c r="B54" s="775"/>
      <c r="C54" s="731"/>
      <c r="D54" s="781"/>
      <c r="E54" s="757"/>
      <c r="F54" s="771"/>
      <c r="G54" s="736"/>
      <c r="H54" s="764"/>
      <c r="I54" s="764"/>
      <c r="J54" s="764"/>
      <c r="K54" s="764"/>
      <c r="L54" s="764"/>
      <c r="M54" s="764"/>
      <c r="N54" s="764"/>
      <c r="O54" s="764"/>
      <c r="P54" s="764"/>
      <c r="Q54" s="764"/>
      <c r="R54" s="764"/>
      <c r="S54" s="764"/>
      <c r="T54" s="764"/>
      <c r="U54" s="764"/>
      <c r="V54" s="764"/>
      <c r="W54" s="764"/>
      <c r="X54" s="764"/>
      <c r="Y54" s="764"/>
      <c r="Z54" s="727"/>
      <c r="AA54" s="722"/>
      <c r="AB54" s="727"/>
      <c r="AC54" s="721"/>
      <c r="AD54" s="722" t="str">
        <f>+IF(OR(AB54=1,AB54&lt;=5),"Moderado",IF(OR(AB54=6,AB54&lt;=11),"Mayor","Catastrófico"))</f>
        <v>Moderado</v>
      </c>
      <c r="AE54" s="721"/>
      <c r="AF54" s="715"/>
      <c r="AG54" s="52"/>
      <c r="AH54" s="145"/>
      <c r="AI54" s="145"/>
      <c r="AJ54" s="145"/>
      <c r="AK54" s="28" t="str">
        <f t="shared" si="0"/>
        <v/>
      </c>
      <c r="AL54" s="145"/>
      <c r="AM54" s="28" t="str">
        <f t="shared" si="1"/>
        <v/>
      </c>
      <c r="AN54" s="140"/>
      <c r="AO54" s="28" t="str">
        <f t="shared" si="2"/>
        <v/>
      </c>
      <c r="AP54" s="140"/>
      <c r="AQ54" s="28" t="str">
        <f t="shared" si="3"/>
        <v/>
      </c>
      <c r="AR54" s="140"/>
      <c r="AS54" s="28" t="str">
        <f t="shared" si="4"/>
        <v/>
      </c>
      <c r="AT54" s="140"/>
      <c r="AU54" s="28" t="str">
        <f t="shared" si="5"/>
        <v/>
      </c>
      <c r="AV54" s="140"/>
      <c r="AW54" s="28" t="str">
        <f t="shared" si="6"/>
        <v/>
      </c>
      <c r="AX54" s="111" t="str">
        <f t="shared" si="7"/>
        <v/>
      </c>
      <c r="AY54" s="111" t="str">
        <f t="shared" si="8"/>
        <v/>
      </c>
      <c r="AZ54" s="141"/>
      <c r="BA54" s="153" t="str">
        <f t="shared" si="9"/>
        <v>Débil</v>
      </c>
      <c r="BB54" s="22" t="str">
        <f>IFERROR(VLOOKUP((CONCATENATE(AY54,BA54)),Listados!$U$3:$V$11,2,FALSE),"")</f>
        <v/>
      </c>
      <c r="BC54" s="111">
        <f t="shared" si="10"/>
        <v>100</v>
      </c>
      <c r="BD54" s="718"/>
      <c r="BE54" s="761"/>
      <c r="BF54" s="718"/>
      <c r="BG54" s="718"/>
      <c r="BH54" s="714"/>
      <c r="BI54" s="715"/>
      <c r="BJ54" s="714"/>
      <c r="BK54" s="714"/>
      <c r="BL54" s="799"/>
      <c r="BM54" s="800"/>
      <c r="BN54" s="801"/>
      <c r="BO54" s="799"/>
      <c r="BP54" s="800"/>
      <c r="BQ54" s="801"/>
      <c r="BR54" s="799"/>
      <c r="BS54" s="800"/>
      <c r="BT54" s="801"/>
    </row>
    <row r="55" spans="1:72" ht="160" thickBot="1">
      <c r="A55" s="723">
        <v>9</v>
      </c>
      <c r="B55" s="776" t="s">
        <v>77</v>
      </c>
      <c r="C55" s="729" t="str">
        <f>IFERROR(VLOOKUP(B55,Listados!B$3:C$20,2,FALSE),"")</f>
        <v>Acceso a la Justicia</v>
      </c>
      <c r="D55" s="735" t="s">
        <v>540</v>
      </c>
      <c r="E55" s="105" t="s">
        <v>541</v>
      </c>
      <c r="F55" s="109" t="s">
        <v>16</v>
      </c>
      <c r="G55" s="735" t="s">
        <v>542</v>
      </c>
      <c r="H55" s="763" t="s">
        <v>116</v>
      </c>
      <c r="I55" s="763" t="s">
        <v>116</v>
      </c>
      <c r="J55" s="763" t="s">
        <v>116</v>
      </c>
      <c r="K55" s="763" t="s">
        <v>120</v>
      </c>
      <c r="L55" s="763" t="s">
        <v>116</v>
      </c>
      <c r="M55" s="763" t="s">
        <v>120</v>
      </c>
      <c r="N55" s="763" t="s">
        <v>116</v>
      </c>
      <c r="O55" s="763" t="s">
        <v>120</v>
      </c>
      <c r="P55" s="763" t="s">
        <v>120</v>
      </c>
      <c r="Q55" s="763" t="s">
        <v>116</v>
      </c>
      <c r="R55" s="763" t="s">
        <v>116</v>
      </c>
      <c r="S55" s="763" t="s">
        <v>116</v>
      </c>
      <c r="T55" s="763" t="s">
        <v>120</v>
      </c>
      <c r="U55" s="763" t="s">
        <v>120</v>
      </c>
      <c r="V55" s="763" t="s">
        <v>120</v>
      </c>
      <c r="W55" s="763" t="s">
        <v>120</v>
      </c>
      <c r="X55" s="763" t="s">
        <v>120</v>
      </c>
      <c r="Y55" s="763" t="s">
        <v>120</v>
      </c>
      <c r="Z55" s="762" t="s">
        <v>120</v>
      </c>
      <c r="AA55" s="721">
        <f>COUNTIF(H55:Z60, "SI")</f>
        <v>8</v>
      </c>
      <c r="AB55" s="762" t="s">
        <v>21</v>
      </c>
      <c r="AC55" s="719">
        <f>+VLOOKUP(AB55,Listados!$K$8:$L$12,2,0)</f>
        <v>1</v>
      </c>
      <c r="AD55" s="721" t="str">
        <f>+IF(OR(AA55=1,AA55&lt;=5),"Moderado",IF(OR(AA55=6,AA55&lt;=11),"Mayor","Catastrófico"))</f>
        <v>Mayor</v>
      </c>
      <c r="AE55" s="719" t="e">
        <f>+VLOOKUP(AD55,Listados!K61:L65,2,0)</f>
        <v>#N/A</v>
      </c>
      <c r="AF55" s="714" t="str">
        <f>IF(AND(AB55&lt;&gt;"",AD55&lt;&gt;""),VLOOKUP(AB55&amp;AD55,Listados!$M$3:$N$27,2,FALSE),"")</f>
        <v>Alto</v>
      </c>
      <c r="AG55" s="167" t="s">
        <v>543</v>
      </c>
      <c r="AH55" s="164" t="s">
        <v>541</v>
      </c>
      <c r="AI55" s="143" t="s">
        <v>20</v>
      </c>
      <c r="AJ55" s="145"/>
      <c r="AK55" s="28" t="str">
        <f t="shared" si="0"/>
        <v/>
      </c>
      <c r="AL55" s="145"/>
      <c r="AM55" s="28" t="str">
        <f t="shared" si="1"/>
        <v/>
      </c>
      <c r="AN55" s="140"/>
      <c r="AO55" s="28" t="str">
        <f t="shared" si="2"/>
        <v/>
      </c>
      <c r="AP55" s="140"/>
      <c r="AQ55" s="28" t="str">
        <f t="shared" si="3"/>
        <v/>
      </c>
      <c r="AR55" s="140"/>
      <c r="AS55" s="28" t="str">
        <f t="shared" si="4"/>
        <v/>
      </c>
      <c r="AT55" s="140"/>
      <c r="AU55" s="28" t="str">
        <f t="shared" si="5"/>
        <v/>
      </c>
      <c r="AV55" s="140"/>
      <c r="AW55" s="28" t="str">
        <f t="shared" si="6"/>
        <v/>
      </c>
      <c r="AX55" s="111" t="str">
        <f t="shared" si="7"/>
        <v/>
      </c>
      <c r="AY55" s="111" t="str">
        <f t="shared" si="8"/>
        <v/>
      </c>
      <c r="AZ55" s="141"/>
      <c r="BA55" s="153" t="str">
        <f t="shared" si="9"/>
        <v>Débil</v>
      </c>
      <c r="BB55" s="22" t="str">
        <f>IFERROR(VLOOKUP((CONCATENATE(AY55,BA55)),Listados!$U$3:$V$11,2,FALSE),"")</f>
        <v/>
      </c>
      <c r="BC55" s="111">
        <f t="shared" si="10"/>
        <v>100</v>
      </c>
      <c r="BD55" s="716">
        <f>AVERAGE(BC55:BC60)</f>
        <v>100</v>
      </c>
      <c r="BE55" s="718" t="str">
        <f>IF(BD55&lt;=50, "Débil", IF(BD55&lt;=99,"Moderado","Fuerte"))</f>
        <v>Fuerte</v>
      </c>
      <c r="BF55" s="716">
        <f>+IF(BE55="Fuerte",2,IF(BE55="Moderado",1,0))</f>
        <v>2</v>
      </c>
      <c r="BG55" s="716">
        <f>+AC55-BF55</f>
        <v>-1</v>
      </c>
      <c r="BH55" s="712" t="str">
        <f>+VLOOKUP(BG55,Listados!$J$18:$K$24,2,TRUE)</f>
        <v>Rara Vez</v>
      </c>
      <c r="BI55" s="714" t="str">
        <f>IF(ISBLANK(AD55),"",AD55)</f>
        <v>Mayor</v>
      </c>
      <c r="BJ55" s="712" t="str">
        <f>IF(AND(BH55&lt;&gt;"",BI55&lt;&gt;""),VLOOKUP(BH55&amp;BI55,Listados!$M$3:$N$27,2,FALSE),"")</f>
        <v>Alto</v>
      </c>
      <c r="BK55" s="712" t="str">
        <f>+VLOOKUP(BJ55,Listados!$P$3:$Q$6,2,FALSE)</f>
        <v>Reducir el riesgo</v>
      </c>
      <c r="BL55" s="799"/>
      <c r="BM55" s="800"/>
      <c r="BN55" s="801"/>
      <c r="BO55" s="799"/>
      <c r="BP55" s="800"/>
      <c r="BQ55" s="801"/>
      <c r="BR55" s="799"/>
      <c r="BS55" s="800"/>
      <c r="BT55" s="801"/>
    </row>
    <row r="56" spans="1:72" ht="160" thickBot="1">
      <c r="A56" s="724"/>
      <c r="B56" s="777"/>
      <c r="C56" s="730"/>
      <c r="D56" s="736"/>
      <c r="E56" s="161" t="s">
        <v>544</v>
      </c>
      <c r="F56" s="160" t="s">
        <v>16</v>
      </c>
      <c r="G56" s="736"/>
      <c r="H56" s="764"/>
      <c r="I56" s="764"/>
      <c r="J56" s="764"/>
      <c r="K56" s="764"/>
      <c r="L56" s="764"/>
      <c r="M56" s="764"/>
      <c r="N56" s="764"/>
      <c r="O56" s="764"/>
      <c r="P56" s="764"/>
      <c r="Q56" s="764"/>
      <c r="R56" s="764"/>
      <c r="S56" s="764"/>
      <c r="T56" s="764"/>
      <c r="U56" s="764"/>
      <c r="V56" s="764"/>
      <c r="W56" s="764"/>
      <c r="X56" s="764"/>
      <c r="Y56" s="764"/>
      <c r="Z56" s="727"/>
      <c r="AA56" s="722"/>
      <c r="AB56" s="727"/>
      <c r="AC56" s="720"/>
      <c r="AD56" s="722" t="str">
        <f>+IF(OR(AB56=1,AB56&lt;=5),"Moderado",IF(OR(AB56=6,AB56&lt;=11),"Mayor","Catastrófico"))</f>
        <v>Moderado</v>
      </c>
      <c r="AE56" s="720"/>
      <c r="AF56" s="715"/>
      <c r="AG56" s="167" t="s">
        <v>543</v>
      </c>
      <c r="AH56" s="164" t="s">
        <v>544</v>
      </c>
      <c r="AI56" s="143" t="s">
        <v>20</v>
      </c>
      <c r="AJ56" s="145"/>
      <c r="AK56" s="28" t="str">
        <f t="shared" si="0"/>
        <v/>
      </c>
      <c r="AL56" s="145"/>
      <c r="AM56" s="28" t="str">
        <f t="shared" si="1"/>
        <v/>
      </c>
      <c r="AN56" s="140"/>
      <c r="AO56" s="28" t="str">
        <f t="shared" si="2"/>
        <v/>
      </c>
      <c r="AP56" s="140"/>
      <c r="AQ56" s="28" t="str">
        <f t="shared" si="3"/>
        <v/>
      </c>
      <c r="AR56" s="140"/>
      <c r="AS56" s="28" t="str">
        <f t="shared" si="4"/>
        <v/>
      </c>
      <c r="AT56" s="140"/>
      <c r="AU56" s="28" t="str">
        <f t="shared" si="5"/>
        <v/>
      </c>
      <c r="AV56" s="140"/>
      <c r="AW56" s="28" t="str">
        <f t="shared" si="6"/>
        <v/>
      </c>
      <c r="AX56" s="111" t="str">
        <f t="shared" si="7"/>
        <v/>
      </c>
      <c r="AY56" s="111" t="str">
        <f t="shared" si="8"/>
        <v/>
      </c>
      <c r="AZ56" s="141"/>
      <c r="BA56" s="153" t="str">
        <f t="shared" si="9"/>
        <v>Débil</v>
      </c>
      <c r="BB56" s="22" t="str">
        <f>IFERROR(VLOOKUP((CONCATENATE(AY56,BA56)),Listados!$U$3:$V$11,2,FALSE),"")</f>
        <v/>
      </c>
      <c r="BC56" s="111">
        <f t="shared" si="10"/>
        <v>100</v>
      </c>
      <c r="BD56" s="717"/>
      <c r="BE56" s="761"/>
      <c r="BF56" s="717"/>
      <c r="BG56" s="717"/>
      <c r="BH56" s="713"/>
      <c r="BI56" s="715"/>
      <c r="BJ56" s="713"/>
      <c r="BK56" s="713"/>
      <c r="BL56" s="799"/>
      <c r="BM56" s="800"/>
      <c r="BN56" s="801"/>
      <c r="BO56" s="799"/>
      <c r="BP56" s="800"/>
      <c r="BQ56" s="801"/>
      <c r="BR56" s="799"/>
      <c r="BS56" s="800"/>
      <c r="BT56" s="801"/>
    </row>
    <row r="57" spans="1:72" ht="196.5" customHeight="1" thickBot="1">
      <c r="A57" s="724"/>
      <c r="B57" s="777"/>
      <c r="C57" s="730"/>
      <c r="D57" s="736"/>
      <c r="E57" s="161" t="s">
        <v>545</v>
      </c>
      <c r="F57" s="160" t="s">
        <v>16</v>
      </c>
      <c r="G57" s="736"/>
      <c r="H57" s="764"/>
      <c r="I57" s="764"/>
      <c r="J57" s="764"/>
      <c r="K57" s="764"/>
      <c r="L57" s="764"/>
      <c r="M57" s="764"/>
      <c r="N57" s="764"/>
      <c r="O57" s="764"/>
      <c r="P57" s="764"/>
      <c r="Q57" s="764"/>
      <c r="R57" s="764"/>
      <c r="S57" s="764"/>
      <c r="T57" s="764"/>
      <c r="U57" s="764"/>
      <c r="V57" s="764"/>
      <c r="W57" s="764"/>
      <c r="X57" s="764"/>
      <c r="Y57" s="764"/>
      <c r="Z57" s="727"/>
      <c r="AA57" s="722"/>
      <c r="AB57" s="727"/>
      <c r="AC57" s="720"/>
      <c r="AD57" s="722" t="str">
        <f>+IF(OR(AB57=1,AB57&lt;=5),"Moderado",IF(OR(AB57=6,AB57&lt;=11),"Mayor","Catastrófico"))</f>
        <v>Moderado</v>
      </c>
      <c r="AE57" s="720"/>
      <c r="AF57" s="715"/>
      <c r="AG57" s="167" t="s">
        <v>546</v>
      </c>
      <c r="AH57" s="164" t="s">
        <v>545</v>
      </c>
      <c r="AI57" s="143" t="s">
        <v>20</v>
      </c>
      <c r="AJ57" s="145"/>
      <c r="AK57" s="28" t="str">
        <f t="shared" si="0"/>
        <v/>
      </c>
      <c r="AL57" s="145"/>
      <c r="AM57" s="28" t="str">
        <f t="shared" si="1"/>
        <v/>
      </c>
      <c r="AN57" s="140"/>
      <c r="AO57" s="28" t="str">
        <f t="shared" si="2"/>
        <v/>
      </c>
      <c r="AP57" s="140"/>
      <c r="AQ57" s="28" t="str">
        <f t="shared" si="3"/>
        <v/>
      </c>
      <c r="AR57" s="140"/>
      <c r="AS57" s="28" t="str">
        <f t="shared" si="4"/>
        <v/>
      </c>
      <c r="AT57" s="140"/>
      <c r="AU57" s="28" t="str">
        <f t="shared" si="5"/>
        <v/>
      </c>
      <c r="AV57" s="140"/>
      <c r="AW57" s="28" t="str">
        <f t="shared" si="6"/>
        <v/>
      </c>
      <c r="AX57" s="111" t="str">
        <f t="shared" si="7"/>
        <v/>
      </c>
      <c r="AY57" s="111" t="str">
        <f t="shared" si="8"/>
        <v/>
      </c>
      <c r="AZ57" s="141"/>
      <c r="BA57" s="153" t="str">
        <f t="shared" si="9"/>
        <v>Débil</v>
      </c>
      <c r="BB57" s="22" t="str">
        <f>IFERROR(VLOOKUP((CONCATENATE(AY57,BA57)),Listados!$U$3:$V$11,2,FALSE),"")</f>
        <v/>
      </c>
      <c r="BC57" s="111">
        <f t="shared" si="10"/>
        <v>100</v>
      </c>
      <c r="BD57" s="717"/>
      <c r="BE57" s="761"/>
      <c r="BF57" s="717"/>
      <c r="BG57" s="717"/>
      <c r="BH57" s="713"/>
      <c r="BI57" s="715"/>
      <c r="BJ57" s="713"/>
      <c r="BK57" s="713"/>
      <c r="BL57" s="799"/>
      <c r="BM57" s="800"/>
      <c r="BN57" s="801"/>
      <c r="BO57" s="799"/>
      <c r="BP57" s="800"/>
      <c r="BQ57" s="801"/>
      <c r="BR57" s="799"/>
      <c r="BS57" s="800"/>
      <c r="BT57" s="801"/>
    </row>
    <row r="58" spans="1:72" ht="25.5" customHeight="1" thickBot="1">
      <c r="A58" s="724"/>
      <c r="B58" s="777"/>
      <c r="C58" s="730"/>
      <c r="D58" s="736"/>
      <c r="E58" s="755"/>
      <c r="F58" s="769"/>
      <c r="G58" s="736"/>
      <c r="H58" s="764"/>
      <c r="I58" s="764"/>
      <c r="J58" s="764"/>
      <c r="K58" s="764"/>
      <c r="L58" s="764"/>
      <c r="M58" s="764"/>
      <c r="N58" s="764"/>
      <c r="O58" s="764"/>
      <c r="P58" s="764"/>
      <c r="Q58" s="764"/>
      <c r="R58" s="764"/>
      <c r="S58" s="764"/>
      <c r="T58" s="764"/>
      <c r="U58" s="764"/>
      <c r="V58" s="764"/>
      <c r="W58" s="764"/>
      <c r="X58" s="764"/>
      <c r="Y58" s="764"/>
      <c r="Z58" s="727"/>
      <c r="AA58" s="722"/>
      <c r="AB58" s="727"/>
      <c r="AC58" s="720"/>
      <c r="AD58" s="722" t="str">
        <f>+IF(OR(AB58=1,AB58&lt;=5),"Moderado",IF(OR(AB58=6,AB58&lt;=11),"Mayor","Catastrófico"))</f>
        <v>Moderado</v>
      </c>
      <c r="AE58" s="720"/>
      <c r="AF58" s="715"/>
      <c r="AG58" s="52"/>
      <c r="AH58" s="145"/>
      <c r="AI58" s="145"/>
      <c r="AJ58" s="145"/>
      <c r="AK58" s="28" t="str">
        <f t="shared" si="0"/>
        <v/>
      </c>
      <c r="AL58" s="145"/>
      <c r="AM58" s="28" t="str">
        <f t="shared" si="1"/>
        <v/>
      </c>
      <c r="AN58" s="140"/>
      <c r="AO58" s="28" t="str">
        <f t="shared" si="2"/>
        <v/>
      </c>
      <c r="AP58" s="140"/>
      <c r="AQ58" s="28" t="str">
        <f t="shared" si="3"/>
        <v/>
      </c>
      <c r="AR58" s="140"/>
      <c r="AS58" s="28" t="str">
        <f t="shared" si="4"/>
        <v/>
      </c>
      <c r="AT58" s="140"/>
      <c r="AU58" s="28" t="str">
        <f t="shared" si="5"/>
        <v/>
      </c>
      <c r="AV58" s="140"/>
      <c r="AW58" s="28" t="str">
        <f t="shared" si="6"/>
        <v/>
      </c>
      <c r="AX58" s="111" t="str">
        <f t="shared" si="7"/>
        <v/>
      </c>
      <c r="AY58" s="111" t="str">
        <f t="shared" si="8"/>
        <v/>
      </c>
      <c r="AZ58" s="141"/>
      <c r="BA58" s="153" t="str">
        <f t="shared" si="9"/>
        <v>Débil</v>
      </c>
      <c r="BB58" s="22" t="str">
        <f>IFERROR(VLOOKUP((CONCATENATE(AY58,BA58)),Listados!$U$3:$V$11,2,FALSE),"")</f>
        <v/>
      </c>
      <c r="BC58" s="111">
        <f t="shared" si="10"/>
        <v>100</v>
      </c>
      <c r="BD58" s="717"/>
      <c r="BE58" s="761"/>
      <c r="BF58" s="717"/>
      <c r="BG58" s="717"/>
      <c r="BH58" s="713"/>
      <c r="BI58" s="715"/>
      <c r="BJ58" s="713"/>
      <c r="BK58" s="713"/>
      <c r="BL58" s="799"/>
      <c r="BM58" s="800"/>
      <c r="BN58" s="801"/>
      <c r="BO58" s="799"/>
      <c r="BP58" s="800"/>
      <c r="BQ58" s="801"/>
      <c r="BR58" s="799"/>
      <c r="BS58" s="800"/>
      <c r="BT58" s="801"/>
    </row>
    <row r="59" spans="1:72" ht="25.5" customHeight="1" thickBot="1">
      <c r="A59" s="724"/>
      <c r="B59" s="777"/>
      <c r="C59" s="730"/>
      <c r="D59" s="736"/>
      <c r="E59" s="756"/>
      <c r="F59" s="770"/>
      <c r="G59" s="736"/>
      <c r="H59" s="764"/>
      <c r="I59" s="764"/>
      <c r="J59" s="764"/>
      <c r="K59" s="764"/>
      <c r="L59" s="764"/>
      <c r="M59" s="764"/>
      <c r="N59" s="764"/>
      <c r="O59" s="764"/>
      <c r="P59" s="764"/>
      <c r="Q59" s="764"/>
      <c r="R59" s="764"/>
      <c r="S59" s="764"/>
      <c r="T59" s="764"/>
      <c r="U59" s="764"/>
      <c r="V59" s="764"/>
      <c r="W59" s="764"/>
      <c r="X59" s="764"/>
      <c r="Y59" s="764"/>
      <c r="Z59" s="727"/>
      <c r="AA59" s="722"/>
      <c r="AB59" s="727"/>
      <c r="AC59" s="720"/>
      <c r="AD59" s="722" t="str">
        <f>+IF(OR(AB59=1,AB59&lt;=5),"Moderado",IF(OR(AB59=6,AB59&lt;=11),"Mayor","Catastrófico"))</f>
        <v>Moderado</v>
      </c>
      <c r="AE59" s="720"/>
      <c r="AF59" s="715"/>
      <c r="AG59" s="52"/>
      <c r="AH59" s="145"/>
      <c r="AI59" s="145"/>
      <c r="AJ59" s="145"/>
      <c r="AK59" s="28" t="str">
        <f t="shared" si="0"/>
        <v/>
      </c>
      <c r="AL59" s="145"/>
      <c r="AM59" s="28" t="str">
        <f t="shared" si="1"/>
        <v/>
      </c>
      <c r="AN59" s="140"/>
      <c r="AO59" s="28" t="str">
        <f t="shared" si="2"/>
        <v/>
      </c>
      <c r="AP59" s="140"/>
      <c r="AQ59" s="28" t="str">
        <f t="shared" si="3"/>
        <v/>
      </c>
      <c r="AR59" s="140"/>
      <c r="AS59" s="28" t="str">
        <f t="shared" si="4"/>
        <v/>
      </c>
      <c r="AT59" s="140"/>
      <c r="AU59" s="28" t="str">
        <f t="shared" si="5"/>
        <v/>
      </c>
      <c r="AV59" s="140"/>
      <c r="AW59" s="28" t="str">
        <f t="shared" si="6"/>
        <v/>
      </c>
      <c r="AX59" s="111" t="str">
        <f t="shared" si="7"/>
        <v/>
      </c>
      <c r="AY59" s="111" t="str">
        <f t="shared" si="8"/>
        <v/>
      </c>
      <c r="AZ59" s="141"/>
      <c r="BA59" s="153" t="str">
        <f t="shared" si="9"/>
        <v>Débil</v>
      </c>
      <c r="BB59" s="22" t="str">
        <f>IFERROR(VLOOKUP((CONCATENATE(AY59,BA59)),Listados!$U$3:$V$11,2,FALSE),"")</f>
        <v/>
      </c>
      <c r="BC59" s="111">
        <f t="shared" si="10"/>
        <v>100</v>
      </c>
      <c r="BD59" s="717"/>
      <c r="BE59" s="761"/>
      <c r="BF59" s="717"/>
      <c r="BG59" s="717"/>
      <c r="BH59" s="713"/>
      <c r="BI59" s="715"/>
      <c r="BJ59" s="713"/>
      <c r="BK59" s="713"/>
      <c r="BL59" s="799"/>
      <c r="BM59" s="800"/>
      <c r="BN59" s="801"/>
      <c r="BO59" s="799"/>
      <c r="BP59" s="800"/>
      <c r="BQ59" s="801"/>
      <c r="BR59" s="799"/>
      <c r="BS59" s="800"/>
      <c r="BT59" s="801"/>
    </row>
    <row r="60" spans="1:72" ht="26.25" customHeight="1" thickBot="1">
      <c r="A60" s="725"/>
      <c r="B60" s="777"/>
      <c r="C60" s="731"/>
      <c r="D60" s="781"/>
      <c r="E60" s="757"/>
      <c r="F60" s="771"/>
      <c r="G60" s="736"/>
      <c r="H60" s="764"/>
      <c r="I60" s="764"/>
      <c r="J60" s="764"/>
      <c r="K60" s="764"/>
      <c r="L60" s="764"/>
      <c r="M60" s="764"/>
      <c r="N60" s="764"/>
      <c r="O60" s="764"/>
      <c r="P60" s="764"/>
      <c r="Q60" s="764"/>
      <c r="R60" s="764"/>
      <c r="S60" s="764"/>
      <c r="T60" s="764"/>
      <c r="U60" s="764"/>
      <c r="V60" s="764"/>
      <c r="W60" s="764"/>
      <c r="X60" s="764"/>
      <c r="Y60" s="764"/>
      <c r="Z60" s="727"/>
      <c r="AA60" s="722"/>
      <c r="AB60" s="727"/>
      <c r="AC60" s="721"/>
      <c r="AD60" s="722" t="str">
        <f>+IF(OR(AB60=1,AB60&lt;=5),"Moderado",IF(OR(AB60=6,AB60&lt;=11),"Mayor","Catastrófico"))</f>
        <v>Moderado</v>
      </c>
      <c r="AE60" s="721"/>
      <c r="AF60" s="715"/>
      <c r="AG60" s="52"/>
      <c r="AH60" s="145"/>
      <c r="AI60" s="145"/>
      <c r="AJ60" s="145"/>
      <c r="AK60" s="28" t="str">
        <f t="shared" si="0"/>
        <v/>
      </c>
      <c r="AL60" s="145"/>
      <c r="AM60" s="28" t="str">
        <f t="shared" si="1"/>
        <v/>
      </c>
      <c r="AN60" s="140"/>
      <c r="AO60" s="28" t="str">
        <f t="shared" si="2"/>
        <v/>
      </c>
      <c r="AP60" s="140"/>
      <c r="AQ60" s="28" t="str">
        <f t="shared" si="3"/>
        <v/>
      </c>
      <c r="AR60" s="140"/>
      <c r="AS60" s="28" t="str">
        <f t="shared" si="4"/>
        <v/>
      </c>
      <c r="AT60" s="140"/>
      <c r="AU60" s="28" t="str">
        <f t="shared" si="5"/>
        <v/>
      </c>
      <c r="AV60" s="140"/>
      <c r="AW60" s="28" t="str">
        <f t="shared" si="6"/>
        <v/>
      </c>
      <c r="AX60" s="111" t="str">
        <f t="shared" si="7"/>
        <v/>
      </c>
      <c r="AY60" s="111" t="str">
        <f t="shared" si="8"/>
        <v/>
      </c>
      <c r="AZ60" s="141"/>
      <c r="BA60" s="153" t="str">
        <f t="shared" si="9"/>
        <v>Débil</v>
      </c>
      <c r="BB60" s="22" t="str">
        <f>IFERROR(VLOOKUP((CONCATENATE(AY60,BA60)),Listados!$U$3:$V$11,2,FALSE),"")</f>
        <v/>
      </c>
      <c r="BC60" s="111">
        <f t="shared" si="10"/>
        <v>100</v>
      </c>
      <c r="BD60" s="718"/>
      <c r="BE60" s="761"/>
      <c r="BF60" s="718"/>
      <c r="BG60" s="718"/>
      <c r="BH60" s="714"/>
      <c r="BI60" s="715"/>
      <c r="BJ60" s="714"/>
      <c r="BK60" s="714"/>
      <c r="BL60" s="799"/>
      <c r="BM60" s="800"/>
      <c r="BN60" s="801"/>
      <c r="BO60" s="799"/>
      <c r="BP60" s="800"/>
      <c r="BQ60" s="801"/>
      <c r="BR60" s="799"/>
      <c r="BS60" s="800"/>
      <c r="BT60" s="801"/>
    </row>
    <row r="61" spans="1:72" ht="116.5" thickBot="1">
      <c r="A61" s="723">
        <v>10</v>
      </c>
      <c r="B61" s="776" t="s">
        <v>83</v>
      </c>
      <c r="C61" s="729" t="str">
        <f>IFERROR(VLOOKUP(B61,Listados!B$3:C$20,2,FALSE),"")</f>
        <v>Fijar los lineamientos, parámetros y actividades requeridas para garantizar la gestión de los servicios administrativos, logísticos y la administración de los bienes necesario para la operación del Ministerio de Justicia y del Derecho.</v>
      </c>
      <c r="D61" s="735" t="s">
        <v>547</v>
      </c>
      <c r="E61" s="105" t="s">
        <v>548</v>
      </c>
      <c r="F61" s="109" t="s">
        <v>16</v>
      </c>
      <c r="G61" s="735" t="s">
        <v>549</v>
      </c>
      <c r="H61" s="714" t="s">
        <v>257</v>
      </c>
      <c r="I61" s="714" t="s">
        <v>257</v>
      </c>
      <c r="J61" s="714" t="s">
        <v>257</v>
      </c>
      <c r="K61" s="714" t="s">
        <v>120</v>
      </c>
      <c r="L61" s="714" t="s">
        <v>257</v>
      </c>
      <c r="M61" s="714" t="s">
        <v>257</v>
      </c>
      <c r="N61" s="714" t="s">
        <v>257</v>
      </c>
      <c r="O61" s="714" t="s">
        <v>120</v>
      </c>
      <c r="P61" s="714" t="s">
        <v>120</v>
      </c>
      <c r="Q61" s="714" t="s">
        <v>116</v>
      </c>
      <c r="R61" s="714" t="s">
        <v>116</v>
      </c>
      <c r="S61" s="714" t="s">
        <v>257</v>
      </c>
      <c r="T61" s="714" t="s">
        <v>517</v>
      </c>
      <c r="U61" s="714" t="s">
        <v>120</v>
      </c>
      <c r="V61" s="714" t="s">
        <v>120</v>
      </c>
      <c r="W61" s="714" t="s">
        <v>517</v>
      </c>
      <c r="X61" s="714" t="s">
        <v>120</v>
      </c>
      <c r="Y61" s="714" t="s">
        <v>517</v>
      </c>
      <c r="Z61" s="767" t="s">
        <v>120</v>
      </c>
      <c r="AA61" s="721">
        <f>COUNTIF(H61:Z66, "SI")</f>
        <v>9</v>
      </c>
      <c r="AB61" s="762" t="s">
        <v>21</v>
      </c>
      <c r="AC61" s="719">
        <f>+VLOOKUP(AB61,Listados!$K$8:$L$12,2,0)</f>
        <v>1</v>
      </c>
      <c r="AD61" s="721" t="str">
        <f>+IF(OR(AA61=1,AA61&lt;=5),"Moderado",IF(OR(AA61=6,AA61&lt;=11),"Mayor","Catastrófico"))</f>
        <v>Mayor</v>
      </c>
      <c r="AE61" s="719" t="e">
        <f>+VLOOKUP(AD61,Listados!K67:L71,2,0)</f>
        <v>#N/A</v>
      </c>
      <c r="AF61" s="714" t="str">
        <f>IF(AND(AB61&lt;&gt;"",AD61&lt;&gt;""),VLOOKUP(AB61&amp;AD61,Listados!$M$3:$N$27,2,FALSE),"")</f>
        <v>Alto</v>
      </c>
      <c r="AG61" s="167" t="s">
        <v>550</v>
      </c>
      <c r="AH61" s="168" t="s">
        <v>548</v>
      </c>
      <c r="AI61" s="169" t="s">
        <v>123</v>
      </c>
      <c r="AJ61" s="145"/>
      <c r="AK61" s="28" t="str">
        <f t="shared" si="0"/>
        <v/>
      </c>
      <c r="AL61" s="145"/>
      <c r="AM61" s="28" t="str">
        <f t="shared" si="1"/>
        <v/>
      </c>
      <c r="AN61" s="140"/>
      <c r="AO61" s="28" t="str">
        <f t="shared" si="2"/>
        <v/>
      </c>
      <c r="AP61" s="140"/>
      <c r="AQ61" s="28" t="str">
        <f t="shared" si="3"/>
        <v/>
      </c>
      <c r="AR61" s="140"/>
      <c r="AS61" s="28" t="str">
        <f t="shared" si="4"/>
        <v/>
      </c>
      <c r="AT61" s="140"/>
      <c r="AU61" s="28" t="str">
        <f t="shared" si="5"/>
        <v/>
      </c>
      <c r="AV61" s="140"/>
      <c r="AW61" s="28" t="str">
        <f t="shared" si="6"/>
        <v/>
      </c>
      <c r="AX61" s="111" t="str">
        <f t="shared" si="7"/>
        <v/>
      </c>
      <c r="AY61" s="111" t="str">
        <f t="shared" si="8"/>
        <v/>
      </c>
      <c r="AZ61" s="141"/>
      <c r="BA61" s="153" t="str">
        <f t="shared" si="9"/>
        <v>Débil</v>
      </c>
      <c r="BB61" s="22" t="str">
        <f>IFERROR(VLOOKUP((CONCATENATE(AY61,BA61)),Listados!$U$3:$V$11,2,FALSE),"")</f>
        <v/>
      </c>
      <c r="BC61" s="111">
        <f t="shared" si="10"/>
        <v>100</v>
      </c>
      <c r="BD61" s="716">
        <f>AVERAGE(BC61:BC66)</f>
        <v>100</v>
      </c>
      <c r="BE61" s="718" t="str">
        <f>IF(BD61&lt;=50, "Débil", IF(BD61&lt;=99,"Moderado","Fuerte"))</f>
        <v>Fuerte</v>
      </c>
      <c r="BF61" s="716">
        <f>+IF(BE61="Fuerte",2,IF(BE61="Moderado",1,0))</f>
        <v>2</v>
      </c>
      <c r="BG61" s="716">
        <f>+AC61-BF61</f>
        <v>-1</v>
      </c>
      <c r="BH61" s="712" t="str">
        <f>+VLOOKUP(BG61,Listados!$J$18:$K$24,2,TRUE)</f>
        <v>Rara Vez</v>
      </c>
      <c r="BI61" s="714" t="str">
        <f>IF(ISBLANK(AD61),"",AD61)</f>
        <v>Mayor</v>
      </c>
      <c r="BJ61" s="712" t="str">
        <f>IF(AND(BH61&lt;&gt;"",BI61&lt;&gt;""),VLOOKUP(BH61&amp;BI61,Listados!$M$3:$N$27,2,FALSE),"")</f>
        <v>Alto</v>
      </c>
      <c r="BK61" s="712" t="str">
        <f>+VLOOKUP(BJ61,Listados!$P$3:$Q$6,2,FALSE)</f>
        <v>Reducir el riesgo</v>
      </c>
      <c r="BL61" s="799"/>
      <c r="BM61" s="800"/>
      <c r="BN61" s="801"/>
      <c r="BO61" s="799"/>
      <c r="BP61" s="800"/>
      <c r="BQ61" s="801"/>
      <c r="BR61" s="799"/>
      <c r="BS61" s="800"/>
      <c r="BT61" s="801"/>
    </row>
    <row r="62" spans="1:72" ht="116.5" thickBot="1">
      <c r="A62" s="724"/>
      <c r="B62" s="777"/>
      <c r="C62" s="730"/>
      <c r="D62" s="736"/>
      <c r="E62" s="161" t="s">
        <v>551</v>
      </c>
      <c r="F62" s="160" t="s">
        <v>30</v>
      </c>
      <c r="G62" s="736"/>
      <c r="H62" s="715"/>
      <c r="I62" s="715"/>
      <c r="J62" s="715"/>
      <c r="K62" s="715"/>
      <c r="L62" s="715"/>
      <c r="M62" s="715"/>
      <c r="N62" s="715"/>
      <c r="O62" s="715"/>
      <c r="P62" s="715"/>
      <c r="Q62" s="715"/>
      <c r="R62" s="715"/>
      <c r="S62" s="715"/>
      <c r="T62" s="715"/>
      <c r="U62" s="715"/>
      <c r="V62" s="715"/>
      <c r="W62" s="715"/>
      <c r="X62" s="715"/>
      <c r="Y62" s="715"/>
      <c r="Z62" s="768"/>
      <c r="AA62" s="722"/>
      <c r="AB62" s="727"/>
      <c r="AC62" s="720"/>
      <c r="AD62" s="722" t="str">
        <f>+IF(OR(AB62=1,AB62&lt;=5),"Moderado",IF(OR(AB62=6,AB62&lt;=11),"Mayor","Catastrófico"))</f>
        <v>Moderado</v>
      </c>
      <c r="AE62" s="720"/>
      <c r="AF62" s="715"/>
      <c r="AG62" s="167" t="s">
        <v>552</v>
      </c>
      <c r="AH62" s="168" t="s">
        <v>551</v>
      </c>
      <c r="AI62" s="169" t="s">
        <v>20</v>
      </c>
      <c r="AJ62" s="145"/>
      <c r="AK62" s="28" t="str">
        <f t="shared" si="0"/>
        <v/>
      </c>
      <c r="AL62" s="145"/>
      <c r="AM62" s="28" t="str">
        <f t="shared" si="1"/>
        <v/>
      </c>
      <c r="AN62" s="140"/>
      <c r="AO62" s="28" t="str">
        <f t="shared" si="2"/>
        <v/>
      </c>
      <c r="AP62" s="140"/>
      <c r="AQ62" s="28" t="str">
        <f t="shared" si="3"/>
        <v/>
      </c>
      <c r="AR62" s="140"/>
      <c r="AS62" s="28" t="str">
        <f t="shared" si="4"/>
        <v/>
      </c>
      <c r="AT62" s="140"/>
      <c r="AU62" s="28" t="str">
        <f t="shared" si="5"/>
        <v/>
      </c>
      <c r="AV62" s="140"/>
      <c r="AW62" s="28" t="str">
        <f t="shared" si="6"/>
        <v/>
      </c>
      <c r="AX62" s="111" t="str">
        <f t="shared" si="7"/>
        <v/>
      </c>
      <c r="AY62" s="111" t="str">
        <f t="shared" si="8"/>
        <v/>
      </c>
      <c r="AZ62" s="141"/>
      <c r="BA62" s="153" t="str">
        <f t="shared" si="9"/>
        <v>Débil</v>
      </c>
      <c r="BB62" s="22" t="str">
        <f>IFERROR(VLOOKUP((CONCATENATE(AY62,BA62)),Listados!$U$3:$V$11,2,FALSE),"")</f>
        <v/>
      </c>
      <c r="BC62" s="111">
        <f t="shared" si="10"/>
        <v>100</v>
      </c>
      <c r="BD62" s="717"/>
      <c r="BE62" s="761"/>
      <c r="BF62" s="717"/>
      <c r="BG62" s="717"/>
      <c r="BH62" s="713"/>
      <c r="BI62" s="715"/>
      <c r="BJ62" s="713"/>
      <c r="BK62" s="713"/>
      <c r="BL62" s="799"/>
      <c r="BM62" s="800"/>
      <c r="BN62" s="801"/>
      <c r="BO62" s="799"/>
      <c r="BP62" s="800"/>
      <c r="BQ62" s="801"/>
      <c r="BR62" s="799"/>
      <c r="BS62" s="800"/>
      <c r="BT62" s="801"/>
    </row>
    <row r="63" spans="1:72" ht="25.5" customHeight="1" thickBot="1">
      <c r="A63" s="724"/>
      <c r="B63" s="777"/>
      <c r="C63" s="730"/>
      <c r="D63" s="736"/>
      <c r="E63" s="161"/>
      <c r="F63" s="150"/>
      <c r="G63" s="736"/>
      <c r="H63" s="715"/>
      <c r="I63" s="715"/>
      <c r="J63" s="715"/>
      <c r="K63" s="715"/>
      <c r="L63" s="715"/>
      <c r="M63" s="715"/>
      <c r="N63" s="715"/>
      <c r="O63" s="715"/>
      <c r="P63" s="715"/>
      <c r="Q63" s="715"/>
      <c r="R63" s="715"/>
      <c r="S63" s="715"/>
      <c r="T63" s="715"/>
      <c r="U63" s="715"/>
      <c r="V63" s="715"/>
      <c r="W63" s="715"/>
      <c r="X63" s="715"/>
      <c r="Y63" s="715"/>
      <c r="Z63" s="768"/>
      <c r="AA63" s="722"/>
      <c r="AB63" s="727"/>
      <c r="AC63" s="720"/>
      <c r="AD63" s="722" t="str">
        <f>+IF(OR(AB63=1,AB63&lt;=5),"Moderado",IF(OR(AB63=6,AB63&lt;=11),"Mayor","Catastrófico"))</f>
        <v>Moderado</v>
      </c>
      <c r="AE63" s="720"/>
      <c r="AF63" s="715"/>
      <c r="AG63" s="52"/>
      <c r="AH63" s="145"/>
      <c r="AI63" s="145"/>
      <c r="AJ63" s="145"/>
      <c r="AK63" s="28" t="str">
        <f t="shared" si="0"/>
        <v/>
      </c>
      <c r="AL63" s="145"/>
      <c r="AM63" s="28" t="str">
        <f t="shared" si="1"/>
        <v/>
      </c>
      <c r="AN63" s="140"/>
      <c r="AO63" s="28" t="str">
        <f t="shared" si="2"/>
        <v/>
      </c>
      <c r="AP63" s="140"/>
      <c r="AQ63" s="28" t="str">
        <f t="shared" si="3"/>
        <v/>
      </c>
      <c r="AR63" s="140"/>
      <c r="AS63" s="28" t="str">
        <f t="shared" si="4"/>
        <v/>
      </c>
      <c r="AT63" s="140"/>
      <c r="AU63" s="28" t="str">
        <f t="shared" si="5"/>
        <v/>
      </c>
      <c r="AV63" s="140"/>
      <c r="AW63" s="28" t="str">
        <f t="shared" si="6"/>
        <v/>
      </c>
      <c r="AX63" s="111" t="str">
        <f t="shared" si="7"/>
        <v/>
      </c>
      <c r="AY63" s="111" t="str">
        <f t="shared" si="8"/>
        <v/>
      </c>
      <c r="AZ63" s="141"/>
      <c r="BA63" s="153" t="str">
        <f t="shared" si="9"/>
        <v>Débil</v>
      </c>
      <c r="BB63" s="22" t="str">
        <f>IFERROR(VLOOKUP((CONCATENATE(AY63,BA63)),Listados!$U$3:$V$11,2,FALSE),"")</f>
        <v/>
      </c>
      <c r="BC63" s="111">
        <f t="shared" si="10"/>
        <v>100</v>
      </c>
      <c r="BD63" s="717"/>
      <c r="BE63" s="761"/>
      <c r="BF63" s="717"/>
      <c r="BG63" s="717"/>
      <c r="BH63" s="713"/>
      <c r="BI63" s="715"/>
      <c r="BJ63" s="713"/>
      <c r="BK63" s="713"/>
      <c r="BL63" s="799"/>
      <c r="BM63" s="800"/>
      <c r="BN63" s="801"/>
      <c r="BO63" s="799"/>
      <c r="BP63" s="800"/>
      <c r="BQ63" s="801"/>
      <c r="BR63" s="799"/>
      <c r="BS63" s="800"/>
      <c r="BT63" s="801"/>
    </row>
    <row r="64" spans="1:72" ht="25.5" customHeight="1" thickBot="1">
      <c r="A64" s="724"/>
      <c r="B64" s="777"/>
      <c r="C64" s="730"/>
      <c r="D64" s="736"/>
      <c r="E64" s="755"/>
      <c r="F64" s="769"/>
      <c r="G64" s="736"/>
      <c r="H64" s="715"/>
      <c r="I64" s="715"/>
      <c r="J64" s="715"/>
      <c r="K64" s="715"/>
      <c r="L64" s="715"/>
      <c r="M64" s="715"/>
      <c r="N64" s="715"/>
      <c r="O64" s="715"/>
      <c r="P64" s="715"/>
      <c r="Q64" s="715"/>
      <c r="R64" s="715"/>
      <c r="S64" s="715"/>
      <c r="T64" s="715"/>
      <c r="U64" s="715"/>
      <c r="V64" s="715"/>
      <c r="W64" s="715"/>
      <c r="X64" s="715"/>
      <c r="Y64" s="715"/>
      <c r="Z64" s="768"/>
      <c r="AA64" s="722"/>
      <c r="AB64" s="727"/>
      <c r="AC64" s="720"/>
      <c r="AD64" s="722" t="str">
        <f>+IF(OR(AB64=1,AB64&lt;=5),"Moderado",IF(OR(AB64=6,AB64&lt;=11),"Mayor","Catastrófico"))</f>
        <v>Moderado</v>
      </c>
      <c r="AE64" s="720"/>
      <c r="AF64" s="715"/>
      <c r="AG64" s="52"/>
      <c r="AH64" s="145"/>
      <c r="AI64" s="145"/>
      <c r="AJ64" s="145"/>
      <c r="AK64" s="28" t="str">
        <f t="shared" si="0"/>
        <v/>
      </c>
      <c r="AL64" s="145"/>
      <c r="AM64" s="28" t="str">
        <f t="shared" si="1"/>
        <v/>
      </c>
      <c r="AN64" s="140"/>
      <c r="AO64" s="28" t="str">
        <f t="shared" si="2"/>
        <v/>
      </c>
      <c r="AP64" s="140"/>
      <c r="AQ64" s="28" t="str">
        <f t="shared" si="3"/>
        <v/>
      </c>
      <c r="AR64" s="140"/>
      <c r="AS64" s="28" t="str">
        <f t="shared" si="4"/>
        <v/>
      </c>
      <c r="AT64" s="140"/>
      <c r="AU64" s="28" t="str">
        <f t="shared" si="5"/>
        <v/>
      </c>
      <c r="AV64" s="140"/>
      <c r="AW64" s="28" t="str">
        <f t="shared" si="6"/>
        <v/>
      </c>
      <c r="AX64" s="111" t="str">
        <f t="shared" si="7"/>
        <v/>
      </c>
      <c r="AY64" s="111" t="str">
        <f t="shared" si="8"/>
        <v/>
      </c>
      <c r="AZ64" s="141"/>
      <c r="BA64" s="153" t="str">
        <f t="shared" si="9"/>
        <v>Débil</v>
      </c>
      <c r="BB64" s="22" t="str">
        <f>IFERROR(VLOOKUP((CONCATENATE(AY64,BA64)),Listados!$U$3:$V$11,2,FALSE),"")</f>
        <v/>
      </c>
      <c r="BC64" s="111">
        <f t="shared" si="10"/>
        <v>100</v>
      </c>
      <c r="BD64" s="717"/>
      <c r="BE64" s="761"/>
      <c r="BF64" s="717"/>
      <c r="BG64" s="717"/>
      <c r="BH64" s="713"/>
      <c r="BI64" s="715"/>
      <c r="BJ64" s="713"/>
      <c r="BK64" s="713"/>
      <c r="BL64" s="799"/>
      <c r="BM64" s="800"/>
      <c r="BN64" s="801"/>
      <c r="BO64" s="799"/>
      <c r="BP64" s="800"/>
      <c r="BQ64" s="801"/>
      <c r="BR64" s="799"/>
      <c r="BS64" s="800"/>
      <c r="BT64" s="801"/>
    </row>
    <row r="65" spans="1:72" ht="25.5" customHeight="1" thickBot="1">
      <c r="A65" s="724"/>
      <c r="B65" s="777"/>
      <c r="C65" s="730"/>
      <c r="D65" s="736"/>
      <c r="E65" s="756"/>
      <c r="F65" s="770"/>
      <c r="G65" s="736"/>
      <c r="H65" s="715"/>
      <c r="I65" s="715"/>
      <c r="J65" s="715"/>
      <c r="K65" s="715"/>
      <c r="L65" s="715"/>
      <c r="M65" s="715"/>
      <c r="N65" s="715"/>
      <c r="O65" s="715"/>
      <c r="P65" s="715"/>
      <c r="Q65" s="715"/>
      <c r="R65" s="715"/>
      <c r="S65" s="715"/>
      <c r="T65" s="715"/>
      <c r="U65" s="715"/>
      <c r="V65" s="715"/>
      <c r="W65" s="715"/>
      <c r="X65" s="715"/>
      <c r="Y65" s="715"/>
      <c r="Z65" s="768"/>
      <c r="AA65" s="722"/>
      <c r="AB65" s="727"/>
      <c r="AC65" s="720"/>
      <c r="AD65" s="722" t="str">
        <f>+IF(OR(AB65=1,AB65&lt;=5),"Moderado",IF(OR(AB65=6,AB65&lt;=11),"Mayor","Catastrófico"))</f>
        <v>Moderado</v>
      </c>
      <c r="AE65" s="720"/>
      <c r="AF65" s="715"/>
      <c r="AG65" s="52"/>
      <c r="AH65" s="145"/>
      <c r="AI65" s="145"/>
      <c r="AJ65" s="145"/>
      <c r="AK65" s="28" t="str">
        <f t="shared" si="0"/>
        <v/>
      </c>
      <c r="AL65" s="145"/>
      <c r="AM65" s="28" t="str">
        <f t="shared" si="1"/>
        <v/>
      </c>
      <c r="AN65" s="140"/>
      <c r="AO65" s="28" t="str">
        <f t="shared" si="2"/>
        <v/>
      </c>
      <c r="AP65" s="140"/>
      <c r="AQ65" s="28" t="str">
        <f t="shared" si="3"/>
        <v/>
      </c>
      <c r="AR65" s="140"/>
      <c r="AS65" s="28" t="str">
        <f t="shared" si="4"/>
        <v/>
      </c>
      <c r="AT65" s="140"/>
      <c r="AU65" s="28" t="str">
        <f t="shared" si="5"/>
        <v/>
      </c>
      <c r="AV65" s="140"/>
      <c r="AW65" s="28" t="str">
        <f t="shared" si="6"/>
        <v/>
      </c>
      <c r="AX65" s="111" t="str">
        <f t="shared" si="7"/>
        <v/>
      </c>
      <c r="AY65" s="111" t="str">
        <f t="shared" si="8"/>
        <v/>
      </c>
      <c r="AZ65" s="141"/>
      <c r="BA65" s="153" t="str">
        <f t="shared" si="9"/>
        <v>Débil</v>
      </c>
      <c r="BB65" s="22" t="str">
        <f>IFERROR(VLOOKUP((CONCATENATE(AY65,BA65)),Listados!$U$3:$V$11,2,FALSE),"")</f>
        <v/>
      </c>
      <c r="BC65" s="111">
        <f t="shared" si="10"/>
        <v>100</v>
      </c>
      <c r="BD65" s="717"/>
      <c r="BE65" s="761"/>
      <c r="BF65" s="717"/>
      <c r="BG65" s="717"/>
      <c r="BH65" s="713"/>
      <c r="BI65" s="715"/>
      <c r="BJ65" s="713"/>
      <c r="BK65" s="713"/>
      <c r="BL65" s="799"/>
      <c r="BM65" s="800"/>
      <c r="BN65" s="801"/>
      <c r="BO65" s="799"/>
      <c r="BP65" s="800"/>
      <c r="BQ65" s="801"/>
      <c r="BR65" s="799"/>
      <c r="BS65" s="800"/>
      <c r="BT65" s="801"/>
    </row>
    <row r="66" spans="1:72" ht="26.25" customHeight="1" thickBot="1">
      <c r="A66" s="725"/>
      <c r="B66" s="777"/>
      <c r="C66" s="731"/>
      <c r="D66" s="781"/>
      <c r="E66" s="757"/>
      <c r="F66" s="771"/>
      <c r="G66" s="736"/>
      <c r="H66" s="715"/>
      <c r="I66" s="715"/>
      <c r="J66" s="715"/>
      <c r="K66" s="715"/>
      <c r="L66" s="715"/>
      <c r="M66" s="715"/>
      <c r="N66" s="715"/>
      <c r="O66" s="715"/>
      <c r="P66" s="715"/>
      <c r="Q66" s="715"/>
      <c r="R66" s="715"/>
      <c r="S66" s="715"/>
      <c r="T66" s="715"/>
      <c r="U66" s="715"/>
      <c r="V66" s="715"/>
      <c r="W66" s="715"/>
      <c r="X66" s="715"/>
      <c r="Y66" s="715"/>
      <c r="Z66" s="768"/>
      <c r="AA66" s="722"/>
      <c r="AB66" s="727"/>
      <c r="AC66" s="721"/>
      <c r="AD66" s="722" t="str">
        <f>+IF(OR(AB66=1,AB66&lt;=5),"Moderado",IF(OR(AB66=6,AB66&lt;=11),"Mayor","Catastrófico"))</f>
        <v>Moderado</v>
      </c>
      <c r="AE66" s="721"/>
      <c r="AF66" s="715"/>
      <c r="AG66" s="52"/>
      <c r="AH66" s="145"/>
      <c r="AI66" s="145"/>
      <c r="AJ66" s="145"/>
      <c r="AK66" s="28" t="str">
        <f t="shared" si="0"/>
        <v/>
      </c>
      <c r="AL66" s="145"/>
      <c r="AM66" s="28" t="str">
        <f t="shared" si="1"/>
        <v/>
      </c>
      <c r="AN66" s="140"/>
      <c r="AO66" s="28" t="str">
        <f t="shared" si="2"/>
        <v/>
      </c>
      <c r="AP66" s="140"/>
      <c r="AQ66" s="28" t="str">
        <f t="shared" si="3"/>
        <v/>
      </c>
      <c r="AR66" s="140"/>
      <c r="AS66" s="28" t="str">
        <f t="shared" si="4"/>
        <v/>
      </c>
      <c r="AT66" s="140"/>
      <c r="AU66" s="28" t="str">
        <f t="shared" si="5"/>
        <v/>
      </c>
      <c r="AV66" s="140"/>
      <c r="AW66" s="28" t="str">
        <f t="shared" si="6"/>
        <v/>
      </c>
      <c r="AX66" s="111" t="str">
        <f t="shared" si="7"/>
        <v/>
      </c>
      <c r="AY66" s="111" t="str">
        <f t="shared" si="8"/>
        <v/>
      </c>
      <c r="AZ66" s="141"/>
      <c r="BA66" s="153" t="str">
        <f t="shared" si="9"/>
        <v>Débil</v>
      </c>
      <c r="BB66" s="22" t="str">
        <f>IFERROR(VLOOKUP((CONCATENATE(AY66,BA66)),Listados!$U$3:$V$11,2,FALSE),"")</f>
        <v/>
      </c>
      <c r="BC66" s="111">
        <f t="shared" si="10"/>
        <v>100</v>
      </c>
      <c r="BD66" s="718"/>
      <c r="BE66" s="761"/>
      <c r="BF66" s="718"/>
      <c r="BG66" s="718"/>
      <c r="BH66" s="714"/>
      <c r="BI66" s="715"/>
      <c r="BJ66" s="714"/>
      <c r="BK66" s="714"/>
      <c r="BL66" s="799"/>
      <c r="BM66" s="800"/>
      <c r="BN66" s="801"/>
      <c r="BO66" s="799"/>
      <c r="BP66" s="800"/>
      <c r="BQ66" s="801"/>
      <c r="BR66" s="799"/>
      <c r="BS66" s="800"/>
      <c r="BT66" s="801"/>
    </row>
    <row r="67" spans="1:72" ht="125.5" thickBot="1">
      <c r="A67" s="723">
        <v>11</v>
      </c>
      <c r="B67" s="776" t="s">
        <v>92</v>
      </c>
      <c r="C67" s="729" t="str">
        <f>IFERROR(VLOOKUP(B67,Listados!B$3:C$20,2,FALSE),"")</f>
        <v>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v>
      </c>
      <c r="D67" s="735" t="s">
        <v>553</v>
      </c>
      <c r="E67" s="105" t="s">
        <v>554</v>
      </c>
      <c r="F67" s="109" t="s">
        <v>16</v>
      </c>
      <c r="G67" s="735" t="s">
        <v>555</v>
      </c>
      <c r="H67" s="763" t="s">
        <v>116</v>
      </c>
      <c r="I67" s="763" t="s">
        <v>116</v>
      </c>
      <c r="J67" s="763" t="s">
        <v>116</v>
      </c>
      <c r="K67" s="763" t="s">
        <v>120</v>
      </c>
      <c r="L67" s="763" t="s">
        <v>116</v>
      </c>
      <c r="M67" s="763" t="s">
        <v>116</v>
      </c>
      <c r="N67" s="763" t="s">
        <v>116</v>
      </c>
      <c r="O67" s="763" t="s">
        <v>120</v>
      </c>
      <c r="P67" s="763" t="s">
        <v>120</v>
      </c>
      <c r="Q67" s="763" t="s">
        <v>116</v>
      </c>
      <c r="R67" s="763" t="s">
        <v>116</v>
      </c>
      <c r="S67" s="763" t="s">
        <v>116</v>
      </c>
      <c r="T67" s="763" t="s">
        <v>116</v>
      </c>
      <c r="U67" s="763" t="s">
        <v>116</v>
      </c>
      <c r="V67" s="763" t="s">
        <v>120</v>
      </c>
      <c r="W67" s="763" t="s">
        <v>120</v>
      </c>
      <c r="X67" s="763" t="s">
        <v>120</v>
      </c>
      <c r="Y67" s="763" t="s">
        <v>120</v>
      </c>
      <c r="Z67" s="762" t="s">
        <v>120</v>
      </c>
      <c r="AA67" s="721">
        <f>COUNTIF(H67:Z72, "SI")</f>
        <v>11</v>
      </c>
      <c r="AB67" s="762" t="s">
        <v>44</v>
      </c>
      <c r="AC67" s="719">
        <f>+VLOOKUP(AB67,Listados!$K$8:$L$12,2,0)</f>
        <v>3</v>
      </c>
      <c r="AD67" s="721" t="str">
        <f>+IF(OR(AA67=1,AA67&lt;=5),"Moderado",IF(OR(AA67=6,AA67&lt;=11),"Mayor","Catastrófico"))</f>
        <v>Mayor</v>
      </c>
      <c r="AE67" s="719" t="e">
        <f>+VLOOKUP(AD67,Listados!K73:L77,2,0)</f>
        <v>#N/A</v>
      </c>
      <c r="AF67" s="714" t="str">
        <f>IF(AND(AB67&lt;&gt;"",AD67&lt;&gt;""),VLOOKUP(AB67&amp;AD67,Listados!$M$3:$N$27,2,FALSE),"")</f>
        <v>Extremo</v>
      </c>
      <c r="AG67" s="52" t="s">
        <v>556</v>
      </c>
      <c r="AH67" s="164" t="s">
        <v>554</v>
      </c>
      <c r="AI67" s="145"/>
      <c r="AJ67" s="145"/>
      <c r="AK67" s="28" t="str">
        <f t="shared" si="0"/>
        <v/>
      </c>
      <c r="AL67" s="145"/>
      <c r="AM67" s="28" t="str">
        <f t="shared" si="1"/>
        <v/>
      </c>
      <c r="AN67" s="140"/>
      <c r="AO67" s="28" t="str">
        <f t="shared" si="2"/>
        <v/>
      </c>
      <c r="AP67" s="140"/>
      <c r="AQ67" s="28" t="str">
        <f t="shared" si="3"/>
        <v/>
      </c>
      <c r="AR67" s="140"/>
      <c r="AS67" s="28" t="str">
        <f t="shared" si="4"/>
        <v/>
      </c>
      <c r="AT67" s="140"/>
      <c r="AU67" s="28" t="str">
        <f t="shared" si="5"/>
        <v/>
      </c>
      <c r="AV67" s="140"/>
      <c r="AW67" s="28" t="str">
        <f t="shared" si="6"/>
        <v/>
      </c>
      <c r="AX67" s="111" t="str">
        <f t="shared" si="7"/>
        <v/>
      </c>
      <c r="AY67" s="111" t="str">
        <f t="shared" si="8"/>
        <v/>
      </c>
      <c r="AZ67" s="141"/>
      <c r="BA67" s="153" t="str">
        <f t="shared" si="9"/>
        <v>Débil</v>
      </c>
      <c r="BB67" s="22" t="str">
        <f>IFERROR(VLOOKUP((CONCATENATE(AY67,BA67)),Listados!$U$3:$V$11,2,FALSE),"")</f>
        <v/>
      </c>
      <c r="BC67" s="111">
        <f t="shared" si="10"/>
        <v>100</v>
      </c>
      <c r="BD67" s="716">
        <f>AVERAGE(BC67:BC72)</f>
        <v>100</v>
      </c>
      <c r="BE67" s="718" t="str">
        <f>IF(BD67&lt;=50, "Débil", IF(BD67&lt;=99,"Moderado","Fuerte"))</f>
        <v>Fuerte</v>
      </c>
      <c r="BF67" s="716">
        <f>+IF(BE67="Fuerte",2,IF(BE67="Moderado",1,0))</f>
        <v>2</v>
      </c>
      <c r="BG67" s="716">
        <f>+AC67-BF67</f>
        <v>1</v>
      </c>
      <c r="BH67" s="712" t="str">
        <f>+VLOOKUP(BG67,Listados!$J$18:$K$24,2,TRUE)</f>
        <v>Rara Vez</v>
      </c>
      <c r="BI67" s="714" t="str">
        <f>IF(ISBLANK(AD67),"",AD67)</f>
        <v>Mayor</v>
      </c>
      <c r="BJ67" s="712" t="str">
        <f>IF(AND(BH67&lt;&gt;"",BI67&lt;&gt;""),VLOOKUP(BH67&amp;BI67,Listados!$M$3:$N$27,2,FALSE),"")</f>
        <v>Alto</v>
      </c>
      <c r="BK67" s="712" t="str">
        <f>+VLOOKUP(BJ67,Listados!$P$3:$Q$6,2,FALSE)</f>
        <v>Reducir el riesgo</v>
      </c>
      <c r="BL67" s="799"/>
      <c r="BM67" s="800"/>
      <c r="BN67" s="801"/>
      <c r="BO67" s="799"/>
      <c r="BP67" s="800"/>
      <c r="BQ67" s="801"/>
      <c r="BR67" s="799"/>
      <c r="BS67" s="800"/>
      <c r="BT67" s="801"/>
    </row>
    <row r="68" spans="1:72" ht="38" thickBot="1">
      <c r="A68" s="724"/>
      <c r="B68" s="777"/>
      <c r="C68" s="730"/>
      <c r="D68" s="736"/>
      <c r="E68" s="171" t="s">
        <v>557</v>
      </c>
      <c r="F68" s="160"/>
      <c r="G68" s="736"/>
      <c r="H68" s="764"/>
      <c r="I68" s="764"/>
      <c r="J68" s="764"/>
      <c r="K68" s="764"/>
      <c r="L68" s="764"/>
      <c r="M68" s="764"/>
      <c r="N68" s="764"/>
      <c r="O68" s="764"/>
      <c r="P68" s="764"/>
      <c r="Q68" s="764"/>
      <c r="R68" s="764"/>
      <c r="S68" s="764"/>
      <c r="T68" s="764"/>
      <c r="U68" s="764"/>
      <c r="V68" s="764"/>
      <c r="W68" s="764"/>
      <c r="X68" s="764"/>
      <c r="Y68" s="764"/>
      <c r="Z68" s="727"/>
      <c r="AA68" s="722"/>
      <c r="AB68" s="727"/>
      <c r="AC68" s="720"/>
      <c r="AD68" s="722" t="str">
        <f>+IF(OR(AB68=1,AB68&lt;=5),"Moderado",IF(OR(AB68=6,AB68&lt;=11),"Mayor","Catastrófico"))</f>
        <v>Moderado</v>
      </c>
      <c r="AE68" s="720"/>
      <c r="AF68" s="715"/>
      <c r="AG68" s="52"/>
      <c r="AH68" s="145"/>
      <c r="AI68" s="145"/>
      <c r="AJ68" s="145"/>
      <c r="AK68" s="28" t="str">
        <f t="shared" si="0"/>
        <v/>
      </c>
      <c r="AL68" s="145"/>
      <c r="AM68" s="28" t="str">
        <f t="shared" si="1"/>
        <v/>
      </c>
      <c r="AN68" s="140"/>
      <c r="AO68" s="28" t="str">
        <f t="shared" si="2"/>
        <v/>
      </c>
      <c r="AP68" s="140"/>
      <c r="AQ68" s="28" t="str">
        <f t="shared" si="3"/>
        <v/>
      </c>
      <c r="AR68" s="140"/>
      <c r="AS68" s="28" t="str">
        <f t="shared" si="4"/>
        <v/>
      </c>
      <c r="AT68" s="140"/>
      <c r="AU68" s="28" t="str">
        <f t="shared" si="5"/>
        <v/>
      </c>
      <c r="AV68" s="140"/>
      <c r="AW68" s="28" t="str">
        <f t="shared" si="6"/>
        <v/>
      </c>
      <c r="AX68" s="111" t="str">
        <f t="shared" si="7"/>
        <v/>
      </c>
      <c r="AY68" s="111" t="str">
        <f t="shared" si="8"/>
        <v/>
      </c>
      <c r="AZ68" s="141"/>
      <c r="BA68" s="153" t="str">
        <f t="shared" si="9"/>
        <v>Débil</v>
      </c>
      <c r="BB68" s="22" t="str">
        <f>IFERROR(VLOOKUP((CONCATENATE(AY68,BA68)),Listados!$U$3:$V$11,2,FALSE),"")</f>
        <v/>
      </c>
      <c r="BC68" s="111">
        <f t="shared" si="10"/>
        <v>100</v>
      </c>
      <c r="BD68" s="717"/>
      <c r="BE68" s="761"/>
      <c r="BF68" s="717"/>
      <c r="BG68" s="717"/>
      <c r="BH68" s="713"/>
      <c r="BI68" s="715"/>
      <c r="BJ68" s="713"/>
      <c r="BK68" s="713"/>
      <c r="BL68" s="799"/>
      <c r="BM68" s="800"/>
      <c r="BN68" s="801"/>
      <c r="BO68" s="799"/>
      <c r="BP68" s="800"/>
      <c r="BQ68" s="801"/>
      <c r="BR68" s="799"/>
      <c r="BS68" s="800"/>
      <c r="BT68" s="801"/>
    </row>
    <row r="69" spans="1:72" ht="50.5" thickBot="1">
      <c r="A69" s="724"/>
      <c r="B69" s="777"/>
      <c r="C69" s="730"/>
      <c r="D69" s="736"/>
      <c r="E69" s="171" t="s">
        <v>558</v>
      </c>
      <c r="F69" s="160"/>
      <c r="G69" s="736"/>
      <c r="H69" s="764"/>
      <c r="I69" s="764"/>
      <c r="J69" s="764"/>
      <c r="K69" s="764"/>
      <c r="L69" s="764"/>
      <c r="M69" s="764"/>
      <c r="N69" s="764"/>
      <c r="O69" s="764"/>
      <c r="P69" s="764"/>
      <c r="Q69" s="764"/>
      <c r="R69" s="764"/>
      <c r="S69" s="764"/>
      <c r="T69" s="764"/>
      <c r="U69" s="764"/>
      <c r="V69" s="764"/>
      <c r="W69" s="764"/>
      <c r="X69" s="764"/>
      <c r="Y69" s="764"/>
      <c r="Z69" s="727"/>
      <c r="AA69" s="722"/>
      <c r="AB69" s="727"/>
      <c r="AC69" s="720"/>
      <c r="AD69" s="722" t="str">
        <f>+IF(OR(AB69=1,AB69&lt;=5),"Moderado",IF(OR(AB69=6,AB69&lt;=11),"Mayor","Catastrófico"))</f>
        <v>Moderado</v>
      </c>
      <c r="AE69" s="720"/>
      <c r="AF69" s="715"/>
      <c r="AG69" s="52"/>
      <c r="AH69" s="145"/>
      <c r="AI69" s="145"/>
      <c r="AJ69" s="145"/>
      <c r="AK69" s="28" t="str">
        <f t="shared" si="0"/>
        <v/>
      </c>
      <c r="AL69" s="145"/>
      <c r="AM69" s="28" t="str">
        <f t="shared" si="1"/>
        <v/>
      </c>
      <c r="AN69" s="140"/>
      <c r="AO69" s="28" t="str">
        <f t="shared" si="2"/>
        <v/>
      </c>
      <c r="AP69" s="140"/>
      <c r="AQ69" s="28" t="str">
        <f t="shared" si="3"/>
        <v/>
      </c>
      <c r="AR69" s="140"/>
      <c r="AS69" s="28" t="str">
        <f t="shared" si="4"/>
        <v/>
      </c>
      <c r="AT69" s="140"/>
      <c r="AU69" s="28" t="str">
        <f t="shared" si="5"/>
        <v/>
      </c>
      <c r="AV69" s="140"/>
      <c r="AW69" s="28" t="str">
        <f t="shared" si="6"/>
        <v/>
      </c>
      <c r="AX69" s="111" t="str">
        <f t="shared" si="7"/>
        <v/>
      </c>
      <c r="AY69" s="111" t="str">
        <f t="shared" si="8"/>
        <v/>
      </c>
      <c r="AZ69" s="141"/>
      <c r="BA69" s="153" t="str">
        <f t="shared" si="9"/>
        <v>Débil</v>
      </c>
      <c r="BB69" s="22" t="str">
        <f>IFERROR(VLOOKUP((CONCATENATE(AY69,BA69)),Listados!$U$3:$V$11,2,FALSE),"")</f>
        <v/>
      </c>
      <c r="BC69" s="111">
        <f t="shared" si="10"/>
        <v>100</v>
      </c>
      <c r="BD69" s="717"/>
      <c r="BE69" s="761"/>
      <c r="BF69" s="717"/>
      <c r="BG69" s="717"/>
      <c r="BH69" s="713"/>
      <c r="BI69" s="715"/>
      <c r="BJ69" s="713"/>
      <c r="BK69" s="713"/>
      <c r="BL69" s="799"/>
      <c r="BM69" s="800"/>
      <c r="BN69" s="801"/>
      <c r="BO69" s="799"/>
      <c r="BP69" s="800"/>
      <c r="BQ69" s="801"/>
      <c r="BR69" s="799"/>
      <c r="BS69" s="800"/>
      <c r="BT69" s="801"/>
    </row>
    <row r="70" spans="1:72" ht="25.5" customHeight="1" thickBot="1">
      <c r="A70" s="724"/>
      <c r="B70" s="777"/>
      <c r="C70" s="730"/>
      <c r="D70" s="736"/>
      <c r="E70" s="755"/>
      <c r="F70" s="769"/>
      <c r="G70" s="736"/>
      <c r="H70" s="764"/>
      <c r="I70" s="764"/>
      <c r="J70" s="764"/>
      <c r="K70" s="764"/>
      <c r="L70" s="764"/>
      <c r="M70" s="764"/>
      <c r="N70" s="764"/>
      <c r="O70" s="764"/>
      <c r="P70" s="764"/>
      <c r="Q70" s="764"/>
      <c r="R70" s="764"/>
      <c r="S70" s="764"/>
      <c r="T70" s="764"/>
      <c r="U70" s="764"/>
      <c r="V70" s="764"/>
      <c r="W70" s="764"/>
      <c r="X70" s="764"/>
      <c r="Y70" s="764"/>
      <c r="Z70" s="727"/>
      <c r="AA70" s="722"/>
      <c r="AB70" s="727"/>
      <c r="AC70" s="720"/>
      <c r="AD70" s="722" t="str">
        <f>+IF(OR(AB70=1,AB70&lt;=5),"Moderado",IF(OR(AB70=6,AB70&lt;=11),"Mayor","Catastrófico"))</f>
        <v>Moderado</v>
      </c>
      <c r="AE70" s="720"/>
      <c r="AF70" s="715"/>
      <c r="AG70" s="52"/>
      <c r="AH70" s="145"/>
      <c r="AI70" s="145"/>
      <c r="AJ70" s="145"/>
      <c r="AK70" s="28" t="str">
        <f t="shared" si="0"/>
        <v/>
      </c>
      <c r="AL70" s="145"/>
      <c r="AM70" s="28" t="str">
        <f t="shared" si="1"/>
        <v/>
      </c>
      <c r="AN70" s="140"/>
      <c r="AO70" s="28" t="str">
        <f t="shared" si="2"/>
        <v/>
      </c>
      <c r="AP70" s="140"/>
      <c r="AQ70" s="28" t="str">
        <f t="shared" si="3"/>
        <v/>
      </c>
      <c r="AR70" s="140"/>
      <c r="AS70" s="28" t="str">
        <f t="shared" si="4"/>
        <v/>
      </c>
      <c r="AT70" s="140"/>
      <c r="AU70" s="28" t="str">
        <f t="shared" si="5"/>
        <v/>
      </c>
      <c r="AV70" s="140"/>
      <c r="AW70" s="28" t="str">
        <f t="shared" si="6"/>
        <v/>
      </c>
      <c r="AX70" s="111" t="str">
        <f t="shared" si="7"/>
        <v/>
      </c>
      <c r="AY70" s="111" t="str">
        <f t="shared" si="8"/>
        <v/>
      </c>
      <c r="AZ70" s="141"/>
      <c r="BA70" s="153" t="str">
        <f t="shared" si="9"/>
        <v>Débil</v>
      </c>
      <c r="BB70" s="22" t="str">
        <f>IFERROR(VLOOKUP((CONCATENATE(AY70,BA70)),Listados!$U$3:$V$11,2,FALSE),"")</f>
        <v/>
      </c>
      <c r="BC70" s="111">
        <f t="shared" si="10"/>
        <v>100</v>
      </c>
      <c r="BD70" s="717"/>
      <c r="BE70" s="761"/>
      <c r="BF70" s="717"/>
      <c r="BG70" s="717"/>
      <c r="BH70" s="713"/>
      <c r="BI70" s="715"/>
      <c r="BJ70" s="713"/>
      <c r="BK70" s="713"/>
      <c r="BL70" s="799"/>
      <c r="BM70" s="800"/>
      <c r="BN70" s="801"/>
      <c r="BO70" s="799"/>
      <c r="BP70" s="800"/>
      <c r="BQ70" s="801"/>
      <c r="BR70" s="799"/>
      <c r="BS70" s="800"/>
      <c r="BT70" s="801"/>
    </row>
    <row r="71" spans="1:72" ht="25.5" customHeight="1" thickBot="1">
      <c r="A71" s="724"/>
      <c r="B71" s="777"/>
      <c r="C71" s="730"/>
      <c r="D71" s="736"/>
      <c r="E71" s="756"/>
      <c r="F71" s="770"/>
      <c r="G71" s="736"/>
      <c r="H71" s="764"/>
      <c r="I71" s="764"/>
      <c r="J71" s="764"/>
      <c r="K71" s="764"/>
      <c r="L71" s="764"/>
      <c r="M71" s="764"/>
      <c r="N71" s="764"/>
      <c r="O71" s="764"/>
      <c r="P71" s="764"/>
      <c r="Q71" s="764"/>
      <c r="R71" s="764"/>
      <c r="S71" s="764"/>
      <c r="T71" s="764"/>
      <c r="U71" s="764"/>
      <c r="V71" s="764"/>
      <c r="W71" s="764"/>
      <c r="X71" s="764"/>
      <c r="Y71" s="764"/>
      <c r="Z71" s="727"/>
      <c r="AA71" s="722"/>
      <c r="AB71" s="727"/>
      <c r="AC71" s="720"/>
      <c r="AD71" s="722" t="str">
        <f>+IF(OR(AB71=1,AB71&lt;=5),"Moderado",IF(OR(AB71=6,AB71&lt;=11),"Mayor","Catastrófico"))</f>
        <v>Moderado</v>
      </c>
      <c r="AE71" s="720"/>
      <c r="AF71" s="715"/>
      <c r="AG71" s="52"/>
      <c r="AH71" s="145"/>
      <c r="AI71" s="145"/>
      <c r="AJ71" s="145"/>
      <c r="AK71" s="28" t="str">
        <f t="shared" si="0"/>
        <v/>
      </c>
      <c r="AL71" s="145"/>
      <c r="AM71" s="28" t="str">
        <f t="shared" si="1"/>
        <v/>
      </c>
      <c r="AN71" s="140"/>
      <c r="AO71" s="28" t="str">
        <f t="shared" si="2"/>
        <v/>
      </c>
      <c r="AP71" s="140"/>
      <c r="AQ71" s="28" t="str">
        <f t="shared" si="3"/>
        <v/>
      </c>
      <c r="AR71" s="140"/>
      <c r="AS71" s="28" t="str">
        <f t="shared" si="4"/>
        <v/>
      </c>
      <c r="AT71" s="140"/>
      <c r="AU71" s="28" t="str">
        <f t="shared" si="5"/>
        <v/>
      </c>
      <c r="AV71" s="140"/>
      <c r="AW71" s="28" t="str">
        <f t="shared" si="6"/>
        <v/>
      </c>
      <c r="AX71" s="111" t="str">
        <f t="shared" si="7"/>
        <v/>
      </c>
      <c r="AY71" s="111" t="str">
        <f t="shared" si="8"/>
        <v/>
      </c>
      <c r="AZ71" s="141"/>
      <c r="BA71" s="153" t="str">
        <f t="shared" si="9"/>
        <v>Débil</v>
      </c>
      <c r="BB71" s="22" t="str">
        <f>IFERROR(VLOOKUP((CONCATENATE(AY71,BA71)),Listados!$U$3:$V$11,2,FALSE),"")</f>
        <v/>
      </c>
      <c r="BC71" s="111">
        <f t="shared" si="10"/>
        <v>100</v>
      </c>
      <c r="BD71" s="717"/>
      <c r="BE71" s="761"/>
      <c r="BF71" s="717"/>
      <c r="BG71" s="717"/>
      <c r="BH71" s="713"/>
      <c r="BI71" s="715"/>
      <c r="BJ71" s="713"/>
      <c r="BK71" s="713"/>
      <c r="BL71" s="799"/>
      <c r="BM71" s="800"/>
      <c r="BN71" s="801"/>
      <c r="BO71" s="799"/>
      <c r="BP71" s="800"/>
      <c r="BQ71" s="801"/>
      <c r="BR71" s="799"/>
      <c r="BS71" s="800"/>
      <c r="BT71" s="801"/>
    </row>
    <row r="72" spans="1:72" ht="26.25" customHeight="1" thickBot="1">
      <c r="A72" s="725"/>
      <c r="B72" s="777"/>
      <c r="C72" s="731"/>
      <c r="D72" s="781"/>
      <c r="E72" s="757"/>
      <c r="F72" s="771"/>
      <c r="G72" s="736"/>
      <c r="H72" s="764"/>
      <c r="I72" s="764"/>
      <c r="J72" s="764"/>
      <c r="K72" s="764"/>
      <c r="L72" s="764"/>
      <c r="M72" s="764"/>
      <c r="N72" s="764"/>
      <c r="O72" s="764"/>
      <c r="P72" s="764"/>
      <c r="Q72" s="764"/>
      <c r="R72" s="764"/>
      <c r="S72" s="764"/>
      <c r="T72" s="764"/>
      <c r="U72" s="764"/>
      <c r="V72" s="764"/>
      <c r="W72" s="764"/>
      <c r="X72" s="764"/>
      <c r="Y72" s="764"/>
      <c r="Z72" s="727"/>
      <c r="AA72" s="722"/>
      <c r="AB72" s="727"/>
      <c r="AC72" s="721"/>
      <c r="AD72" s="722" t="str">
        <f>+IF(OR(AB72=1,AB72&lt;=5),"Moderado",IF(OR(AB72=6,AB72&lt;=11),"Mayor","Catastrófico"))</f>
        <v>Moderado</v>
      </c>
      <c r="AE72" s="721"/>
      <c r="AF72" s="715"/>
      <c r="AG72" s="52"/>
      <c r="AH72" s="145"/>
      <c r="AI72" s="145"/>
      <c r="AJ72" s="145"/>
      <c r="AK72" s="28" t="str">
        <f t="shared" ref="AK72:AK135" si="19">+IF(AJ72="si",15,"")</f>
        <v/>
      </c>
      <c r="AL72" s="145"/>
      <c r="AM72" s="28" t="str">
        <f t="shared" ref="AM72:AM135" si="20">+IF(AL72="si",15,"")</f>
        <v/>
      </c>
      <c r="AN72" s="140"/>
      <c r="AO72" s="28" t="str">
        <f t="shared" ref="AO72:AO135" si="21">+IF(AN72="si",15,"")</f>
        <v/>
      </c>
      <c r="AP72" s="140"/>
      <c r="AQ72" s="28" t="str">
        <f t="shared" ref="AQ72:AQ135" si="22">+IF(AP72="Preventivo",15,IF(AP72="Detectivo",10,""))</f>
        <v/>
      </c>
      <c r="AR72" s="140"/>
      <c r="AS72" s="28" t="str">
        <f t="shared" ref="AS72:AS135" si="23">+IF(AR72="si",15,"")</f>
        <v/>
      </c>
      <c r="AT72" s="140"/>
      <c r="AU72" s="28" t="str">
        <f t="shared" ref="AU72:AU135" si="24">+IF(AT72="si",15,"")</f>
        <v/>
      </c>
      <c r="AV72" s="140"/>
      <c r="AW72" s="28" t="str">
        <f t="shared" ref="AW72:AW135" si="25">+IF(AV72="Completa",10,IF(AV72="Incompleta",5,""))</f>
        <v/>
      </c>
      <c r="AX72" s="111" t="str">
        <f t="shared" ref="AX72:AX135" si="26">IF((SUM(AK72,AM72,AO72,AQ72,AS72,AU72,AW72)=0),"",(SUM(AK72,AM72,AO72,AQ72,AS72,AU72,AW72)))</f>
        <v/>
      </c>
      <c r="AY72" s="111" t="str">
        <f t="shared" ref="AY72:AY135" si="27">IF(AX72&lt;=85,"Débil",IF(AX72&lt;=95,"Moderado",IF(AX72=100,"Fuerte","")))</f>
        <v/>
      </c>
      <c r="AZ72" s="141"/>
      <c r="BA72" s="153" t="str">
        <f t="shared" ref="BA72:BA135" si="28">+IF(AZ72="siempre","Fuerte",IF(AZ72="Algunas veces","Moderado","Débil"))</f>
        <v>Débil</v>
      </c>
      <c r="BB72" s="22" t="str">
        <f>IFERROR(VLOOKUP((CONCATENATE(AY72,BA72)),Listados!$U$3:$V$11,2,FALSE),"")</f>
        <v/>
      </c>
      <c r="BC72" s="111">
        <f t="shared" ref="BC72:BC135" si="29">IF(ISBLANK(BB72),"",IF(BB72="Débil", 0, IF(BB72="Moderado",50,100)))</f>
        <v>100</v>
      </c>
      <c r="BD72" s="718"/>
      <c r="BE72" s="761"/>
      <c r="BF72" s="718"/>
      <c r="BG72" s="718"/>
      <c r="BH72" s="714"/>
      <c r="BI72" s="715"/>
      <c r="BJ72" s="714"/>
      <c r="BK72" s="714"/>
      <c r="BL72" s="799"/>
      <c r="BM72" s="800"/>
      <c r="BN72" s="801"/>
      <c r="BO72" s="799"/>
      <c r="BP72" s="800"/>
      <c r="BQ72" s="801"/>
      <c r="BR72" s="799"/>
      <c r="BS72" s="800"/>
      <c r="BT72" s="801"/>
    </row>
    <row r="73" spans="1:72" ht="165" customHeight="1" thickBot="1">
      <c r="A73" s="723">
        <v>12</v>
      </c>
      <c r="B73" s="776" t="s">
        <v>77</v>
      </c>
      <c r="C73" s="729" t="str">
        <f>IFERROR(VLOOKUP(B73,Listados!B$3:C$20,2,FALSE),"")</f>
        <v>Acceso a la Justicia</v>
      </c>
      <c r="D73" s="735" t="s">
        <v>559</v>
      </c>
      <c r="E73" s="105" t="s">
        <v>560</v>
      </c>
      <c r="F73" s="18" t="s">
        <v>16</v>
      </c>
      <c r="G73" s="735" t="s">
        <v>561</v>
      </c>
      <c r="H73" s="763" t="s">
        <v>257</v>
      </c>
      <c r="I73" s="763" t="s">
        <v>257</v>
      </c>
      <c r="J73" s="763" t="s">
        <v>257</v>
      </c>
      <c r="K73" s="763" t="s">
        <v>517</v>
      </c>
      <c r="L73" s="763" t="s">
        <v>257</v>
      </c>
      <c r="M73" s="763" t="s">
        <v>517</v>
      </c>
      <c r="N73" s="763" t="s">
        <v>257</v>
      </c>
      <c r="O73" s="763" t="s">
        <v>257</v>
      </c>
      <c r="P73" s="763" t="s">
        <v>517</v>
      </c>
      <c r="Q73" s="763" t="s">
        <v>257</v>
      </c>
      <c r="R73" s="763" t="s">
        <v>257</v>
      </c>
      <c r="S73" s="763" t="s">
        <v>257</v>
      </c>
      <c r="T73" s="763" t="s">
        <v>257</v>
      </c>
      <c r="U73" s="763" t="s">
        <v>517</v>
      </c>
      <c r="V73" s="763" t="s">
        <v>257</v>
      </c>
      <c r="W73" s="763" t="s">
        <v>517</v>
      </c>
      <c r="X73" s="763" t="s">
        <v>517</v>
      </c>
      <c r="Y73" s="763" t="s">
        <v>517</v>
      </c>
      <c r="Z73" s="762" t="s">
        <v>517</v>
      </c>
      <c r="AA73" s="721">
        <f>COUNTIF(H73:Z78, "SI")</f>
        <v>11</v>
      </c>
      <c r="AB73" s="762" t="s">
        <v>21</v>
      </c>
      <c r="AC73" s="719">
        <f>+VLOOKUP(AB73,Listados!$K$8:$L$12,2,0)</f>
        <v>1</v>
      </c>
      <c r="AD73" s="721" t="str">
        <f>+IF(OR(AA73=1,AA73&lt;=5),"Moderado",IF(OR(AA73=6,AA73&lt;=11),"Mayor","Catastrófico"))</f>
        <v>Mayor</v>
      </c>
      <c r="AE73" s="719" t="e">
        <f>+VLOOKUP(AD73,Listados!K79:L83,2,0)</f>
        <v>#N/A</v>
      </c>
      <c r="AF73" s="714" t="str">
        <f>IF(AND(AB73&lt;&gt;"",AD73&lt;&gt;""),VLOOKUP(AB73&amp;AD73,Listados!$M$3:$N$27,2,FALSE),"")</f>
        <v>Alto</v>
      </c>
      <c r="AG73" s="24" t="s">
        <v>562</v>
      </c>
      <c r="AH73" s="145" t="s">
        <v>560</v>
      </c>
      <c r="AI73" s="145" t="s">
        <v>123</v>
      </c>
      <c r="AJ73" s="145"/>
      <c r="AK73" s="28" t="str">
        <f t="shared" si="19"/>
        <v/>
      </c>
      <c r="AL73" s="145"/>
      <c r="AM73" s="28" t="str">
        <f t="shared" si="20"/>
        <v/>
      </c>
      <c r="AN73" s="140"/>
      <c r="AO73" s="28" t="str">
        <f t="shared" si="21"/>
        <v/>
      </c>
      <c r="AP73" s="140"/>
      <c r="AQ73" s="28" t="str">
        <f t="shared" si="22"/>
        <v/>
      </c>
      <c r="AR73" s="140"/>
      <c r="AS73" s="28" t="str">
        <f t="shared" si="23"/>
        <v/>
      </c>
      <c r="AT73" s="140"/>
      <c r="AU73" s="28" t="str">
        <f t="shared" si="24"/>
        <v/>
      </c>
      <c r="AV73" s="140"/>
      <c r="AW73" s="28" t="str">
        <f t="shared" si="25"/>
        <v/>
      </c>
      <c r="AX73" s="111" t="str">
        <f t="shared" si="26"/>
        <v/>
      </c>
      <c r="AY73" s="111" t="str">
        <f t="shared" si="27"/>
        <v/>
      </c>
      <c r="AZ73" s="141"/>
      <c r="BA73" s="153" t="str">
        <f t="shared" si="28"/>
        <v>Débil</v>
      </c>
      <c r="BB73" s="22" t="str">
        <f>IFERROR(VLOOKUP((CONCATENATE(AY73,BA73)),Listados!$U$3:$V$11,2,FALSE),"")</f>
        <v/>
      </c>
      <c r="BC73" s="111">
        <f t="shared" si="29"/>
        <v>100</v>
      </c>
      <c r="BD73" s="716">
        <f>AVERAGE(BC73:BC78)</f>
        <v>100</v>
      </c>
      <c r="BE73" s="718" t="str">
        <f>IF(BD73&lt;=50, "Débil", IF(BD73&lt;=99,"Moderado","Fuerte"))</f>
        <v>Fuerte</v>
      </c>
      <c r="BF73" s="716">
        <f>+IF(BE73="Fuerte",2,IF(BE73="Moderado",1,0))</f>
        <v>2</v>
      </c>
      <c r="BG73" s="716">
        <f>+AC73-BF73</f>
        <v>-1</v>
      </c>
      <c r="BH73" s="712" t="str">
        <f>+VLOOKUP(BG73,Listados!$J$18:$K$24,2,TRUE)</f>
        <v>Rara Vez</v>
      </c>
      <c r="BI73" s="714" t="str">
        <f>IF(ISBLANK(AD73),"",AD73)</f>
        <v>Mayor</v>
      </c>
      <c r="BJ73" s="712" t="str">
        <f>IF(AND(BH73&lt;&gt;"",BI73&lt;&gt;""),VLOOKUP(BH73&amp;BI73,Listados!$M$3:$N$27,2,FALSE),"")</f>
        <v>Alto</v>
      </c>
      <c r="BK73" s="712" t="str">
        <f>+VLOOKUP(BJ73,Listados!$P$3:$Q$6,2,FALSE)</f>
        <v>Reducir el riesgo</v>
      </c>
      <c r="BL73" s="799"/>
      <c r="BM73" s="800"/>
      <c r="BN73" s="801"/>
      <c r="BO73" s="799"/>
      <c r="BP73" s="800"/>
      <c r="BQ73" s="801"/>
      <c r="BR73" s="799"/>
      <c r="BS73" s="800"/>
      <c r="BT73" s="801"/>
    </row>
    <row r="74" spans="1:72" ht="102" thickBot="1">
      <c r="A74" s="724"/>
      <c r="B74" s="777"/>
      <c r="C74" s="730"/>
      <c r="D74" s="736"/>
      <c r="E74" s="161"/>
      <c r="F74" s="150"/>
      <c r="G74" s="736"/>
      <c r="H74" s="764"/>
      <c r="I74" s="764"/>
      <c r="J74" s="764"/>
      <c r="K74" s="764"/>
      <c r="L74" s="764"/>
      <c r="M74" s="764"/>
      <c r="N74" s="764"/>
      <c r="O74" s="764"/>
      <c r="P74" s="764"/>
      <c r="Q74" s="764"/>
      <c r="R74" s="764"/>
      <c r="S74" s="764"/>
      <c r="T74" s="764"/>
      <c r="U74" s="764"/>
      <c r="V74" s="764"/>
      <c r="W74" s="764"/>
      <c r="X74" s="764"/>
      <c r="Y74" s="764"/>
      <c r="Z74" s="727"/>
      <c r="AA74" s="722"/>
      <c r="AB74" s="727"/>
      <c r="AC74" s="720"/>
      <c r="AD74" s="722" t="str">
        <f>+IF(OR(AB74=1,AB74&lt;=5),"Moderado",IF(OR(AB74=6,AB74&lt;=11),"Mayor","Catastrófico"))</f>
        <v>Moderado</v>
      </c>
      <c r="AE74" s="720"/>
      <c r="AF74" s="715"/>
      <c r="AG74" s="24" t="s">
        <v>563</v>
      </c>
      <c r="AH74" s="145" t="s">
        <v>560</v>
      </c>
      <c r="AI74" s="145" t="s">
        <v>123</v>
      </c>
      <c r="AJ74" s="145"/>
      <c r="AK74" s="28" t="str">
        <f t="shared" si="19"/>
        <v/>
      </c>
      <c r="AL74" s="145"/>
      <c r="AM74" s="28" t="str">
        <f t="shared" si="20"/>
        <v/>
      </c>
      <c r="AN74" s="140"/>
      <c r="AO74" s="28" t="str">
        <f t="shared" si="21"/>
        <v/>
      </c>
      <c r="AP74" s="140"/>
      <c r="AQ74" s="28" t="str">
        <f t="shared" si="22"/>
        <v/>
      </c>
      <c r="AR74" s="140"/>
      <c r="AS74" s="28" t="str">
        <f t="shared" si="23"/>
        <v/>
      </c>
      <c r="AT74" s="140"/>
      <c r="AU74" s="28" t="str">
        <f t="shared" si="24"/>
        <v/>
      </c>
      <c r="AV74" s="140"/>
      <c r="AW74" s="28" t="str">
        <f t="shared" si="25"/>
        <v/>
      </c>
      <c r="AX74" s="111" t="str">
        <f t="shared" si="26"/>
        <v/>
      </c>
      <c r="AY74" s="111" t="str">
        <f t="shared" si="27"/>
        <v/>
      </c>
      <c r="AZ74" s="141"/>
      <c r="BA74" s="153" t="str">
        <f t="shared" si="28"/>
        <v>Débil</v>
      </c>
      <c r="BB74" s="22" t="str">
        <f>IFERROR(VLOOKUP((CONCATENATE(AY74,BA74)),Listados!$U$3:$V$11,2,FALSE),"")</f>
        <v/>
      </c>
      <c r="BC74" s="111">
        <f t="shared" si="29"/>
        <v>100</v>
      </c>
      <c r="BD74" s="717"/>
      <c r="BE74" s="761"/>
      <c r="BF74" s="717"/>
      <c r="BG74" s="717"/>
      <c r="BH74" s="713"/>
      <c r="BI74" s="715"/>
      <c r="BJ74" s="713"/>
      <c r="BK74" s="713"/>
      <c r="BL74" s="799"/>
      <c r="BM74" s="800"/>
      <c r="BN74" s="801"/>
      <c r="BO74" s="799"/>
      <c r="BP74" s="800"/>
      <c r="BQ74" s="801"/>
      <c r="BR74" s="799"/>
      <c r="BS74" s="800"/>
      <c r="BT74" s="801"/>
    </row>
    <row r="75" spans="1:72" ht="102" thickBot="1">
      <c r="A75" s="724"/>
      <c r="B75" s="777"/>
      <c r="C75" s="730"/>
      <c r="D75" s="736"/>
      <c r="E75" s="161"/>
      <c r="F75" s="150"/>
      <c r="G75" s="736"/>
      <c r="H75" s="764"/>
      <c r="I75" s="764"/>
      <c r="J75" s="764"/>
      <c r="K75" s="764"/>
      <c r="L75" s="764"/>
      <c r="M75" s="764"/>
      <c r="N75" s="764"/>
      <c r="O75" s="764"/>
      <c r="P75" s="764"/>
      <c r="Q75" s="764"/>
      <c r="R75" s="764"/>
      <c r="S75" s="764"/>
      <c r="T75" s="764"/>
      <c r="U75" s="764"/>
      <c r="V75" s="764"/>
      <c r="W75" s="764"/>
      <c r="X75" s="764"/>
      <c r="Y75" s="764"/>
      <c r="Z75" s="727"/>
      <c r="AA75" s="722"/>
      <c r="AB75" s="727"/>
      <c r="AC75" s="720"/>
      <c r="AD75" s="722" t="str">
        <f>+IF(OR(AB75=1,AB75&lt;=5),"Moderado",IF(OR(AB75=6,AB75&lt;=11),"Mayor","Catastrófico"))</f>
        <v>Moderado</v>
      </c>
      <c r="AE75" s="720"/>
      <c r="AF75" s="715"/>
      <c r="AG75" s="24" t="s">
        <v>564</v>
      </c>
      <c r="AH75" s="145" t="s">
        <v>560</v>
      </c>
      <c r="AI75" s="145" t="s">
        <v>20</v>
      </c>
      <c r="AJ75" s="145"/>
      <c r="AK75" s="28" t="str">
        <f t="shared" si="19"/>
        <v/>
      </c>
      <c r="AL75" s="145"/>
      <c r="AM75" s="28" t="str">
        <f t="shared" si="20"/>
        <v/>
      </c>
      <c r="AN75" s="140"/>
      <c r="AO75" s="28" t="str">
        <f t="shared" si="21"/>
        <v/>
      </c>
      <c r="AP75" s="140"/>
      <c r="AQ75" s="28" t="str">
        <f t="shared" si="22"/>
        <v/>
      </c>
      <c r="AR75" s="140"/>
      <c r="AS75" s="28" t="str">
        <f t="shared" si="23"/>
        <v/>
      </c>
      <c r="AT75" s="140"/>
      <c r="AU75" s="28" t="str">
        <f t="shared" si="24"/>
        <v/>
      </c>
      <c r="AV75" s="140"/>
      <c r="AW75" s="28" t="str">
        <f t="shared" si="25"/>
        <v/>
      </c>
      <c r="AX75" s="111" t="str">
        <f t="shared" si="26"/>
        <v/>
      </c>
      <c r="AY75" s="111" t="str">
        <f t="shared" si="27"/>
        <v/>
      </c>
      <c r="AZ75" s="141"/>
      <c r="BA75" s="153" t="str">
        <f t="shared" si="28"/>
        <v>Débil</v>
      </c>
      <c r="BB75" s="22" t="str">
        <f>IFERROR(VLOOKUP((CONCATENATE(AY75,BA75)),Listados!$U$3:$V$11,2,FALSE),"")</f>
        <v/>
      </c>
      <c r="BC75" s="111">
        <f t="shared" si="29"/>
        <v>100</v>
      </c>
      <c r="BD75" s="717"/>
      <c r="BE75" s="761"/>
      <c r="BF75" s="717"/>
      <c r="BG75" s="717"/>
      <c r="BH75" s="713"/>
      <c r="BI75" s="715"/>
      <c r="BJ75" s="713"/>
      <c r="BK75" s="713"/>
      <c r="BL75" s="799"/>
      <c r="BM75" s="800"/>
      <c r="BN75" s="801"/>
      <c r="BO75" s="799"/>
      <c r="BP75" s="800"/>
      <c r="BQ75" s="801"/>
      <c r="BR75" s="799"/>
      <c r="BS75" s="800"/>
      <c r="BT75" s="801"/>
    </row>
    <row r="76" spans="1:72" ht="15" thickBot="1">
      <c r="A76" s="724"/>
      <c r="B76" s="777"/>
      <c r="C76" s="730"/>
      <c r="D76" s="736"/>
      <c r="E76" s="755"/>
      <c r="F76" s="769"/>
      <c r="G76" s="736"/>
      <c r="H76" s="764"/>
      <c r="I76" s="764"/>
      <c r="J76" s="764"/>
      <c r="K76" s="764"/>
      <c r="L76" s="764"/>
      <c r="M76" s="764"/>
      <c r="N76" s="764"/>
      <c r="O76" s="764"/>
      <c r="P76" s="764"/>
      <c r="Q76" s="764"/>
      <c r="R76" s="764"/>
      <c r="S76" s="764"/>
      <c r="T76" s="764"/>
      <c r="U76" s="764"/>
      <c r="V76" s="764"/>
      <c r="W76" s="764"/>
      <c r="X76" s="764"/>
      <c r="Y76" s="764"/>
      <c r="Z76" s="727"/>
      <c r="AA76" s="722"/>
      <c r="AB76" s="727"/>
      <c r="AC76" s="720"/>
      <c r="AD76" s="722" t="str">
        <f>+IF(OR(AB76=1,AB76&lt;=5),"Moderado",IF(OR(AB76=6,AB76&lt;=11),"Mayor","Catastrófico"))</f>
        <v>Moderado</v>
      </c>
      <c r="AE76" s="720"/>
      <c r="AF76" s="715"/>
      <c r="AG76" s="52"/>
      <c r="AH76" s="145"/>
      <c r="AI76" s="145"/>
      <c r="AJ76" s="145"/>
      <c r="AK76" s="28" t="str">
        <f t="shared" si="19"/>
        <v/>
      </c>
      <c r="AL76" s="145"/>
      <c r="AM76" s="28" t="str">
        <f t="shared" si="20"/>
        <v/>
      </c>
      <c r="AN76" s="140"/>
      <c r="AO76" s="28" t="str">
        <f t="shared" si="21"/>
        <v/>
      </c>
      <c r="AP76" s="140"/>
      <c r="AQ76" s="28" t="str">
        <f t="shared" si="22"/>
        <v/>
      </c>
      <c r="AR76" s="140"/>
      <c r="AS76" s="28" t="str">
        <f t="shared" si="23"/>
        <v/>
      </c>
      <c r="AT76" s="140"/>
      <c r="AU76" s="28" t="str">
        <f t="shared" si="24"/>
        <v/>
      </c>
      <c r="AV76" s="140"/>
      <c r="AW76" s="28" t="str">
        <f t="shared" si="25"/>
        <v/>
      </c>
      <c r="AX76" s="111" t="str">
        <f t="shared" si="26"/>
        <v/>
      </c>
      <c r="AY76" s="111" t="str">
        <f t="shared" si="27"/>
        <v/>
      </c>
      <c r="AZ76" s="141"/>
      <c r="BA76" s="153" t="str">
        <f t="shared" si="28"/>
        <v>Débil</v>
      </c>
      <c r="BB76" s="22" t="str">
        <f>IFERROR(VLOOKUP((CONCATENATE(AY76,BA76)),Listados!$U$3:$V$11,2,FALSE),"")</f>
        <v/>
      </c>
      <c r="BC76" s="111">
        <f t="shared" si="29"/>
        <v>100</v>
      </c>
      <c r="BD76" s="717"/>
      <c r="BE76" s="761"/>
      <c r="BF76" s="717"/>
      <c r="BG76" s="717"/>
      <c r="BH76" s="713"/>
      <c r="BI76" s="715"/>
      <c r="BJ76" s="713"/>
      <c r="BK76" s="713"/>
      <c r="BL76" s="799"/>
      <c r="BM76" s="800"/>
      <c r="BN76" s="801"/>
      <c r="BO76" s="799"/>
      <c r="BP76" s="800"/>
      <c r="BQ76" s="801"/>
      <c r="BR76" s="799"/>
      <c r="BS76" s="800"/>
      <c r="BT76" s="801"/>
    </row>
    <row r="77" spans="1:72" ht="15" thickBot="1">
      <c r="A77" s="724"/>
      <c r="B77" s="777"/>
      <c r="C77" s="730"/>
      <c r="D77" s="736"/>
      <c r="E77" s="756"/>
      <c r="F77" s="770"/>
      <c r="G77" s="736"/>
      <c r="H77" s="764"/>
      <c r="I77" s="764"/>
      <c r="J77" s="764"/>
      <c r="K77" s="764"/>
      <c r="L77" s="764"/>
      <c r="M77" s="764"/>
      <c r="N77" s="764"/>
      <c r="O77" s="764"/>
      <c r="P77" s="764"/>
      <c r="Q77" s="764"/>
      <c r="R77" s="764"/>
      <c r="S77" s="764"/>
      <c r="T77" s="764"/>
      <c r="U77" s="764"/>
      <c r="V77" s="764"/>
      <c r="W77" s="764"/>
      <c r="X77" s="764"/>
      <c r="Y77" s="764"/>
      <c r="Z77" s="727"/>
      <c r="AA77" s="722"/>
      <c r="AB77" s="727"/>
      <c r="AC77" s="720"/>
      <c r="AD77" s="722" t="str">
        <f>+IF(OR(AB77=1,AB77&lt;=5),"Moderado",IF(OR(AB77=6,AB77&lt;=11),"Mayor","Catastrófico"))</f>
        <v>Moderado</v>
      </c>
      <c r="AE77" s="720"/>
      <c r="AF77" s="715"/>
      <c r="AG77" s="52"/>
      <c r="AH77" s="145"/>
      <c r="AI77" s="145"/>
      <c r="AJ77" s="145"/>
      <c r="AK77" s="28" t="str">
        <f t="shared" si="19"/>
        <v/>
      </c>
      <c r="AL77" s="145"/>
      <c r="AM77" s="28" t="str">
        <f t="shared" si="20"/>
        <v/>
      </c>
      <c r="AN77" s="140"/>
      <c r="AO77" s="28" t="str">
        <f t="shared" si="21"/>
        <v/>
      </c>
      <c r="AP77" s="140"/>
      <c r="AQ77" s="28" t="str">
        <f t="shared" si="22"/>
        <v/>
      </c>
      <c r="AR77" s="140"/>
      <c r="AS77" s="28" t="str">
        <f t="shared" si="23"/>
        <v/>
      </c>
      <c r="AT77" s="140"/>
      <c r="AU77" s="28" t="str">
        <f t="shared" si="24"/>
        <v/>
      </c>
      <c r="AV77" s="140"/>
      <c r="AW77" s="28" t="str">
        <f t="shared" si="25"/>
        <v/>
      </c>
      <c r="AX77" s="111" t="str">
        <f t="shared" si="26"/>
        <v/>
      </c>
      <c r="AY77" s="111" t="str">
        <f t="shared" si="27"/>
        <v/>
      </c>
      <c r="AZ77" s="141"/>
      <c r="BA77" s="153" t="str">
        <f t="shared" si="28"/>
        <v>Débil</v>
      </c>
      <c r="BB77" s="22" t="str">
        <f>IFERROR(VLOOKUP((CONCATENATE(AY77,BA77)),Listados!$U$3:$V$11,2,FALSE),"")</f>
        <v/>
      </c>
      <c r="BC77" s="111">
        <f t="shared" si="29"/>
        <v>100</v>
      </c>
      <c r="BD77" s="717"/>
      <c r="BE77" s="761"/>
      <c r="BF77" s="717"/>
      <c r="BG77" s="717"/>
      <c r="BH77" s="713"/>
      <c r="BI77" s="715"/>
      <c r="BJ77" s="713"/>
      <c r="BK77" s="713"/>
      <c r="BL77" s="799"/>
      <c r="BM77" s="800"/>
      <c r="BN77" s="801"/>
      <c r="BO77" s="799"/>
      <c r="BP77" s="800"/>
      <c r="BQ77" s="801"/>
      <c r="BR77" s="799"/>
      <c r="BS77" s="800"/>
      <c r="BT77" s="801"/>
    </row>
    <row r="78" spans="1:72" ht="85.5" customHeight="1" thickBot="1">
      <c r="A78" s="725"/>
      <c r="B78" s="777"/>
      <c r="C78" s="731"/>
      <c r="D78" s="781"/>
      <c r="E78" s="757"/>
      <c r="F78" s="771"/>
      <c r="G78" s="736"/>
      <c r="H78" s="764"/>
      <c r="I78" s="764"/>
      <c r="J78" s="764"/>
      <c r="K78" s="764"/>
      <c r="L78" s="764"/>
      <c r="M78" s="764"/>
      <c r="N78" s="764"/>
      <c r="O78" s="764"/>
      <c r="P78" s="764"/>
      <c r="Q78" s="764"/>
      <c r="R78" s="764"/>
      <c r="S78" s="764"/>
      <c r="T78" s="764"/>
      <c r="U78" s="764"/>
      <c r="V78" s="764"/>
      <c r="W78" s="764"/>
      <c r="X78" s="764"/>
      <c r="Y78" s="764"/>
      <c r="Z78" s="727"/>
      <c r="AA78" s="722"/>
      <c r="AB78" s="727"/>
      <c r="AC78" s="721"/>
      <c r="AD78" s="722" t="str">
        <f>+IF(OR(AB78=1,AB78&lt;=5),"Moderado",IF(OR(AB78=6,AB78&lt;=11),"Mayor","Catastrófico"))</f>
        <v>Moderado</v>
      </c>
      <c r="AE78" s="721"/>
      <c r="AF78" s="715"/>
      <c r="AG78" s="106"/>
      <c r="AH78" s="147"/>
      <c r="AI78" s="145"/>
      <c r="AJ78" s="145"/>
      <c r="AK78" s="28" t="str">
        <f t="shared" si="19"/>
        <v/>
      </c>
      <c r="AL78" s="145"/>
      <c r="AM78" s="28" t="str">
        <f t="shared" si="20"/>
        <v/>
      </c>
      <c r="AN78" s="140"/>
      <c r="AO78" s="28" t="str">
        <f t="shared" si="21"/>
        <v/>
      </c>
      <c r="AP78" s="140"/>
      <c r="AQ78" s="28" t="str">
        <f t="shared" si="22"/>
        <v/>
      </c>
      <c r="AR78" s="140"/>
      <c r="AS78" s="28" t="str">
        <f t="shared" si="23"/>
        <v/>
      </c>
      <c r="AT78" s="140"/>
      <c r="AU78" s="28" t="str">
        <f t="shared" si="24"/>
        <v/>
      </c>
      <c r="AV78" s="140"/>
      <c r="AW78" s="28" t="str">
        <f t="shared" si="25"/>
        <v/>
      </c>
      <c r="AX78" s="111" t="str">
        <f t="shared" si="26"/>
        <v/>
      </c>
      <c r="AY78" s="111" t="str">
        <f t="shared" si="27"/>
        <v/>
      </c>
      <c r="AZ78" s="141"/>
      <c r="BA78" s="153" t="str">
        <f t="shared" si="28"/>
        <v>Débil</v>
      </c>
      <c r="BB78" s="22" t="str">
        <f>IFERROR(VLOOKUP((CONCATENATE(AY78,BA78)),Listados!$U$3:$V$11,2,FALSE),"")</f>
        <v/>
      </c>
      <c r="BC78" s="111">
        <f t="shared" si="29"/>
        <v>100</v>
      </c>
      <c r="BD78" s="718"/>
      <c r="BE78" s="761"/>
      <c r="BF78" s="718"/>
      <c r="BG78" s="718"/>
      <c r="BH78" s="714"/>
      <c r="BI78" s="715"/>
      <c r="BJ78" s="714"/>
      <c r="BK78" s="714"/>
      <c r="BL78" s="799"/>
      <c r="BM78" s="800"/>
      <c r="BN78" s="801"/>
      <c r="BO78" s="799"/>
      <c r="BP78" s="800"/>
      <c r="BQ78" s="801"/>
      <c r="BR78" s="799"/>
      <c r="BS78" s="800"/>
      <c r="BT78" s="801"/>
    </row>
    <row r="79" spans="1:72" ht="60" customHeight="1" thickBot="1">
      <c r="A79" s="723">
        <v>13</v>
      </c>
      <c r="B79" s="776" t="s">
        <v>101</v>
      </c>
      <c r="C79" s="729" t="str">
        <f>IFERROR(VLOOKUP(B79,Listados!B$3:C$20,2,FALSE),"")</f>
        <v>Contar con  personal idoneo y calificado para el ejercicio de las funciones de la entidad, así mismo fortelcer las competencias, habilidades, conocimientos y mejoramiento de la calidad de la vida laboral de los servidores públicos, cumpliendo con todas las disposiciones legales vigentes.</v>
      </c>
      <c r="D79" s="735" t="s">
        <v>565</v>
      </c>
      <c r="E79" s="107" t="s">
        <v>566</v>
      </c>
      <c r="F79" s="65" t="s">
        <v>567</v>
      </c>
      <c r="G79" s="735" t="s">
        <v>568</v>
      </c>
      <c r="H79" s="763" t="s">
        <v>257</v>
      </c>
      <c r="I79" s="763" t="s">
        <v>257</v>
      </c>
      <c r="J79" s="763" t="s">
        <v>517</v>
      </c>
      <c r="K79" s="763" t="s">
        <v>517</v>
      </c>
      <c r="L79" s="763" t="s">
        <v>257</v>
      </c>
      <c r="M79" s="763" t="s">
        <v>120</v>
      </c>
      <c r="N79" s="763" t="s">
        <v>116</v>
      </c>
      <c r="O79" s="763" t="s">
        <v>517</v>
      </c>
      <c r="P79" s="763" t="s">
        <v>257</v>
      </c>
      <c r="Q79" s="763" t="s">
        <v>257</v>
      </c>
      <c r="R79" s="763" t="s">
        <v>257</v>
      </c>
      <c r="S79" s="763" t="s">
        <v>257</v>
      </c>
      <c r="T79" s="763" t="s">
        <v>116</v>
      </c>
      <c r="U79" s="763" t="s">
        <v>257</v>
      </c>
      <c r="V79" s="763" t="s">
        <v>257</v>
      </c>
      <c r="W79" s="763" t="s">
        <v>517</v>
      </c>
      <c r="X79" s="763" t="s">
        <v>517</v>
      </c>
      <c r="Y79" s="763" t="s">
        <v>517</v>
      </c>
      <c r="Z79" s="762" t="s">
        <v>517</v>
      </c>
      <c r="AA79" s="721">
        <f>COUNTIF(H79:Z84, "SI")</f>
        <v>11</v>
      </c>
      <c r="AB79" s="762" t="s">
        <v>569</v>
      </c>
      <c r="AC79" s="719">
        <f>+VLOOKUP(AB79,Listados!$K$8:$L$12,2,0)</f>
        <v>4</v>
      </c>
      <c r="AD79" s="721" t="str">
        <f>+IF(OR(AA79=1,AA79&lt;=5),"Moderado",IF(OR(AA79=6,AA79&lt;=11),"Mayor","Catastrófico"))</f>
        <v>Mayor</v>
      </c>
      <c r="AE79" s="719" t="e">
        <f>+VLOOKUP(AD79,Listados!K85:L89,2,0)</f>
        <v>#N/A</v>
      </c>
      <c r="AF79" s="714" t="str">
        <f>IF(AND(AB79&lt;&gt;"",AD79&lt;&gt;""),VLOOKUP(AB79&amp;AD79,Listados!$M$3:$N$27,2,FALSE),"")</f>
        <v>Extremo</v>
      </c>
      <c r="AG79" s="164" t="s">
        <v>570</v>
      </c>
      <c r="AH79" s="107" t="s">
        <v>571</v>
      </c>
      <c r="AI79" s="145" t="s">
        <v>20</v>
      </c>
      <c r="AJ79" s="145"/>
      <c r="AK79" s="28" t="str">
        <f t="shared" si="19"/>
        <v/>
      </c>
      <c r="AL79" s="145"/>
      <c r="AM79" s="28" t="str">
        <f t="shared" si="20"/>
        <v/>
      </c>
      <c r="AN79" s="140"/>
      <c r="AO79" s="28" t="str">
        <f t="shared" si="21"/>
        <v/>
      </c>
      <c r="AP79" s="140"/>
      <c r="AQ79" s="28" t="str">
        <f t="shared" si="22"/>
        <v/>
      </c>
      <c r="AR79" s="140"/>
      <c r="AS79" s="28" t="str">
        <f t="shared" si="23"/>
        <v/>
      </c>
      <c r="AT79" s="140"/>
      <c r="AU79" s="28" t="str">
        <f t="shared" si="24"/>
        <v/>
      </c>
      <c r="AV79" s="140"/>
      <c r="AW79" s="28" t="str">
        <f t="shared" si="25"/>
        <v/>
      </c>
      <c r="AX79" s="111" t="str">
        <f t="shared" si="26"/>
        <v/>
      </c>
      <c r="AY79" s="111" t="str">
        <f t="shared" si="27"/>
        <v/>
      </c>
      <c r="AZ79" s="141"/>
      <c r="BA79" s="153" t="str">
        <f t="shared" si="28"/>
        <v>Débil</v>
      </c>
      <c r="BB79" s="22" t="str">
        <f>IFERROR(VLOOKUP((CONCATENATE(AY79,BA79)),Listados!$U$3:$V$11,2,FALSE),"")</f>
        <v/>
      </c>
      <c r="BC79" s="111">
        <f t="shared" si="29"/>
        <v>100</v>
      </c>
      <c r="BD79" s="716">
        <f>AVERAGE(BC79:BC84)</f>
        <v>100</v>
      </c>
      <c r="BE79" s="718" t="str">
        <f>IF(BD79&lt;=50, "Débil", IF(BD79&lt;=99,"Moderado","Fuerte"))</f>
        <v>Fuerte</v>
      </c>
      <c r="BF79" s="716">
        <f>+IF(BE79="Fuerte",2,IF(BE79="Moderado",1,0))</f>
        <v>2</v>
      </c>
      <c r="BG79" s="716">
        <f>+AC79-BF79</f>
        <v>2</v>
      </c>
      <c r="BH79" s="712" t="str">
        <f>+VLOOKUP(BG79,Listados!$J$18:$K$24,2,TRUE)</f>
        <v>Improbable</v>
      </c>
      <c r="BI79" s="714" t="str">
        <f>IF(ISBLANK(AD79),"",AD79)</f>
        <v>Mayor</v>
      </c>
      <c r="BJ79" s="712" t="str">
        <f>IF(AND(BH79&lt;&gt;"",BI79&lt;&gt;""),VLOOKUP(BH79&amp;BI79,Listados!$M$3:$N$27,2,FALSE),"")</f>
        <v>Alto</v>
      </c>
      <c r="BK79" s="712" t="str">
        <f>+VLOOKUP(BJ79,Listados!$P$3:$Q$6,2,FALSE)</f>
        <v>Reducir el riesgo</v>
      </c>
      <c r="BL79" s="799"/>
      <c r="BM79" s="800"/>
      <c r="BN79" s="801"/>
      <c r="BO79" s="799"/>
      <c r="BP79" s="800"/>
      <c r="BQ79" s="801"/>
      <c r="BR79" s="799"/>
      <c r="BS79" s="800"/>
      <c r="BT79" s="801"/>
    </row>
    <row r="80" spans="1:72" ht="65.25" customHeight="1" thickBot="1">
      <c r="A80" s="724"/>
      <c r="B80" s="777"/>
      <c r="C80" s="730"/>
      <c r="D80" s="736"/>
      <c r="E80" s="107" t="s">
        <v>572</v>
      </c>
      <c r="F80" s="143" t="s">
        <v>567</v>
      </c>
      <c r="G80" s="736"/>
      <c r="H80" s="764"/>
      <c r="I80" s="764"/>
      <c r="J80" s="764"/>
      <c r="K80" s="764"/>
      <c r="L80" s="764"/>
      <c r="M80" s="764"/>
      <c r="N80" s="764"/>
      <c r="O80" s="764"/>
      <c r="P80" s="764"/>
      <c r="Q80" s="764"/>
      <c r="R80" s="764"/>
      <c r="S80" s="764"/>
      <c r="T80" s="764"/>
      <c r="U80" s="764"/>
      <c r="V80" s="764"/>
      <c r="W80" s="764"/>
      <c r="X80" s="764"/>
      <c r="Y80" s="764"/>
      <c r="Z80" s="727"/>
      <c r="AA80" s="722"/>
      <c r="AB80" s="727"/>
      <c r="AC80" s="720"/>
      <c r="AD80" s="722" t="str">
        <f>+IF(OR(AB80=1,AB80&lt;=5),"Moderado",IF(OR(AB80=6,AB80&lt;=11),"Mayor","Catastrófico"))</f>
        <v>Moderado</v>
      </c>
      <c r="AE80" s="720"/>
      <c r="AF80" s="715"/>
      <c r="AG80" s="164" t="s">
        <v>573</v>
      </c>
      <c r="AH80" s="107" t="s">
        <v>574</v>
      </c>
      <c r="AI80" s="145" t="s">
        <v>20</v>
      </c>
      <c r="AJ80" s="145"/>
      <c r="AK80" s="28" t="str">
        <f t="shared" si="19"/>
        <v/>
      </c>
      <c r="AL80" s="145"/>
      <c r="AM80" s="28" t="str">
        <f t="shared" si="20"/>
        <v/>
      </c>
      <c r="AN80" s="140"/>
      <c r="AO80" s="28" t="str">
        <f t="shared" si="21"/>
        <v/>
      </c>
      <c r="AP80" s="140"/>
      <c r="AQ80" s="28" t="str">
        <f t="shared" si="22"/>
        <v/>
      </c>
      <c r="AR80" s="140"/>
      <c r="AS80" s="28" t="str">
        <f t="shared" si="23"/>
        <v/>
      </c>
      <c r="AT80" s="140"/>
      <c r="AU80" s="28" t="str">
        <f t="shared" si="24"/>
        <v/>
      </c>
      <c r="AV80" s="140"/>
      <c r="AW80" s="28" t="str">
        <f t="shared" si="25"/>
        <v/>
      </c>
      <c r="AX80" s="111" t="str">
        <f t="shared" si="26"/>
        <v/>
      </c>
      <c r="AY80" s="111" t="str">
        <f t="shared" si="27"/>
        <v/>
      </c>
      <c r="AZ80" s="141"/>
      <c r="BA80" s="153" t="str">
        <f t="shared" si="28"/>
        <v>Débil</v>
      </c>
      <c r="BB80" s="22" t="str">
        <f>IFERROR(VLOOKUP((CONCATENATE(AY80,BA80)),Listados!$U$3:$V$11,2,FALSE),"")</f>
        <v/>
      </c>
      <c r="BC80" s="111">
        <f t="shared" si="29"/>
        <v>100</v>
      </c>
      <c r="BD80" s="717"/>
      <c r="BE80" s="761"/>
      <c r="BF80" s="717"/>
      <c r="BG80" s="717"/>
      <c r="BH80" s="713"/>
      <c r="BI80" s="715"/>
      <c r="BJ80" s="713"/>
      <c r="BK80" s="713"/>
      <c r="BL80" s="799"/>
      <c r="BM80" s="800"/>
      <c r="BN80" s="801"/>
      <c r="BO80" s="799"/>
      <c r="BP80" s="800"/>
      <c r="BQ80" s="801"/>
      <c r="BR80" s="799"/>
      <c r="BS80" s="800"/>
      <c r="BT80" s="801"/>
    </row>
    <row r="81" spans="1:72" ht="38" thickBot="1">
      <c r="A81" s="724"/>
      <c r="B81" s="777"/>
      <c r="C81" s="730"/>
      <c r="D81" s="736"/>
      <c r="E81" s="107" t="s">
        <v>575</v>
      </c>
      <c r="F81" s="143" t="s">
        <v>30</v>
      </c>
      <c r="G81" s="736"/>
      <c r="H81" s="764"/>
      <c r="I81" s="764"/>
      <c r="J81" s="764"/>
      <c r="K81" s="764"/>
      <c r="L81" s="764"/>
      <c r="M81" s="764"/>
      <c r="N81" s="764"/>
      <c r="O81" s="764"/>
      <c r="P81" s="764"/>
      <c r="Q81" s="764"/>
      <c r="R81" s="764"/>
      <c r="S81" s="764"/>
      <c r="T81" s="764"/>
      <c r="U81" s="764"/>
      <c r="V81" s="764"/>
      <c r="W81" s="764"/>
      <c r="X81" s="764"/>
      <c r="Y81" s="764"/>
      <c r="Z81" s="727"/>
      <c r="AA81" s="722"/>
      <c r="AB81" s="727"/>
      <c r="AC81" s="720"/>
      <c r="AD81" s="722" t="str">
        <f>+IF(OR(AB81=1,AB81&lt;=5),"Moderado",IF(OR(AB81=6,AB81&lt;=11),"Mayor","Catastrófico"))</f>
        <v>Moderado</v>
      </c>
      <c r="AE81" s="720"/>
      <c r="AF81" s="715"/>
      <c r="AG81" s="164" t="s">
        <v>570</v>
      </c>
      <c r="AH81" s="107" t="s">
        <v>576</v>
      </c>
      <c r="AI81" s="145" t="s">
        <v>20</v>
      </c>
      <c r="AJ81" s="145"/>
      <c r="AK81" s="28" t="str">
        <f t="shared" si="19"/>
        <v/>
      </c>
      <c r="AL81" s="145"/>
      <c r="AM81" s="28" t="str">
        <f t="shared" si="20"/>
        <v/>
      </c>
      <c r="AN81" s="140"/>
      <c r="AO81" s="28" t="str">
        <f t="shared" si="21"/>
        <v/>
      </c>
      <c r="AP81" s="140"/>
      <c r="AQ81" s="28" t="str">
        <f t="shared" si="22"/>
        <v/>
      </c>
      <c r="AR81" s="140"/>
      <c r="AS81" s="28" t="str">
        <f t="shared" si="23"/>
        <v/>
      </c>
      <c r="AT81" s="140"/>
      <c r="AU81" s="28" t="str">
        <f t="shared" si="24"/>
        <v/>
      </c>
      <c r="AV81" s="140"/>
      <c r="AW81" s="28" t="str">
        <f t="shared" si="25"/>
        <v/>
      </c>
      <c r="AX81" s="111" t="str">
        <f t="shared" si="26"/>
        <v/>
      </c>
      <c r="AY81" s="111" t="str">
        <f t="shared" si="27"/>
        <v/>
      </c>
      <c r="AZ81" s="141"/>
      <c r="BA81" s="153" t="str">
        <f t="shared" si="28"/>
        <v>Débil</v>
      </c>
      <c r="BB81" s="22" t="str">
        <f>IFERROR(VLOOKUP((CONCATENATE(AY81,BA81)),Listados!$U$3:$V$11,2,FALSE),"")</f>
        <v/>
      </c>
      <c r="BC81" s="111">
        <f t="shared" si="29"/>
        <v>100</v>
      </c>
      <c r="BD81" s="717"/>
      <c r="BE81" s="761"/>
      <c r="BF81" s="717"/>
      <c r="BG81" s="717"/>
      <c r="BH81" s="713"/>
      <c r="BI81" s="715"/>
      <c r="BJ81" s="713"/>
      <c r="BK81" s="713"/>
      <c r="BL81" s="799"/>
      <c r="BM81" s="800"/>
      <c r="BN81" s="801"/>
      <c r="BO81" s="799"/>
      <c r="BP81" s="800"/>
      <c r="BQ81" s="801"/>
      <c r="BR81" s="799"/>
      <c r="BS81" s="800"/>
      <c r="BT81" s="801"/>
    </row>
    <row r="82" spans="1:72" ht="15" thickBot="1">
      <c r="A82" s="724"/>
      <c r="B82" s="777"/>
      <c r="C82" s="730"/>
      <c r="D82" s="736"/>
      <c r="E82" s="755"/>
      <c r="F82" s="769"/>
      <c r="G82" s="736"/>
      <c r="H82" s="764"/>
      <c r="I82" s="764"/>
      <c r="J82" s="764"/>
      <c r="K82" s="764"/>
      <c r="L82" s="764"/>
      <c r="M82" s="764"/>
      <c r="N82" s="764"/>
      <c r="O82" s="764"/>
      <c r="P82" s="764"/>
      <c r="Q82" s="764"/>
      <c r="R82" s="764"/>
      <c r="S82" s="764"/>
      <c r="T82" s="764"/>
      <c r="U82" s="764"/>
      <c r="V82" s="764"/>
      <c r="W82" s="764"/>
      <c r="X82" s="764"/>
      <c r="Y82" s="764"/>
      <c r="Z82" s="727"/>
      <c r="AA82" s="722"/>
      <c r="AB82" s="727"/>
      <c r="AC82" s="720"/>
      <c r="AD82" s="722" t="str">
        <f>+IF(OR(AB82=1,AB82&lt;=5),"Moderado",IF(OR(AB82=6,AB82&lt;=11),"Mayor","Catastrófico"))</f>
        <v>Moderado</v>
      </c>
      <c r="AE82" s="720"/>
      <c r="AF82" s="715"/>
      <c r="AG82" s="52"/>
      <c r="AH82" s="145"/>
      <c r="AI82" s="145"/>
      <c r="AJ82" s="145"/>
      <c r="AK82" s="28" t="str">
        <f t="shared" si="19"/>
        <v/>
      </c>
      <c r="AL82" s="145"/>
      <c r="AM82" s="28" t="str">
        <f t="shared" si="20"/>
        <v/>
      </c>
      <c r="AN82" s="140"/>
      <c r="AO82" s="28" t="str">
        <f t="shared" si="21"/>
        <v/>
      </c>
      <c r="AP82" s="140"/>
      <c r="AQ82" s="28" t="str">
        <f t="shared" si="22"/>
        <v/>
      </c>
      <c r="AR82" s="140"/>
      <c r="AS82" s="28" t="str">
        <f t="shared" si="23"/>
        <v/>
      </c>
      <c r="AT82" s="140"/>
      <c r="AU82" s="28" t="str">
        <f t="shared" si="24"/>
        <v/>
      </c>
      <c r="AV82" s="140"/>
      <c r="AW82" s="28" t="str">
        <f t="shared" si="25"/>
        <v/>
      </c>
      <c r="AX82" s="111" t="str">
        <f t="shared" si="26"/>
        <v/>
      </c>
      <c r="AY82" s="111" t="str">
        <f t="shared" si="27"/>
        <v/>
      </c>
      <c r="AZ82" s="141"/>
      <c r="BA82" s="153" t="str">
        <f t="shared" si="28"/>
        <v>Débil</v>
      </c>
      <c r="BB82" s="22" t="str">
        <f>IFERROR(VLOOKUP((CONCATENATE(AY82,BA82)),Listados!$U$3:$V$11,2,FALSE),"")</f>
        <v/>
      </c>
      <c r="BC82" s="111">
        <f t="shared" si="29"/>
        <v>100</v>
      </c>
      <c r="BD82" s="717"/>
      <c r="BE82" s="761"/>
      <c r="BF82" s="717"/>
      <c r="BG82" s="717"/>
      <c r="BH82" s="713"/>
      <c r="BI82" s="715"/>
      <c r="BJ82" s="713"/>
      <c r="BK82" s="713"/>
      <c r="BL82" s="799"/>
      <c r="BM82" s="800"/>
      <c r="BN82" s="801"/>
      <c r="BO82" s="799"/>
      <c r="BP82" s="800"/>
      <c r="BQ82" s="801"/>
      <c r="BR82" s="799"/>
      <c r="BS82" s="800"/>
      <c r="BT82" s="801"/>
    </row>
    <row r="83" spans="1:72" ht="15" thickBot="1">
      <c r="A83" s="724"/>
      <c r="B83" s="777"/>
      <c r="C83" s="730"/>
      <c r="D83" s="736"/>
      <c r="E83" s="756"/>
      <c r="F83" s="770"/>
      <c r="G83" s="736"/>
      <c r="H83" s="764"/>
      <c r="I83" s="764"/>
      <c r="J83" s="764"/>
      <c r="K83" s="764"/>
      <c r="L83" s="764"/>
      <c r="M83" s="764"/>
      <c r="N83" s="764"/>
      <c r="O83" s="764"/>
      <c r="P83" s="764"/>
      <c r="Q83" s="764"/>
      <c r="R83" s="764"/>
      <c r="S83" s="764"/>
      <c r="T83" s="764"/>
      <c r="U83" s="764"/>
      <c r="V83" s="764"/>
      <c r="W83" s="764"/>
      <c r="X83" s="764"/>
      <c r="Y83" s="764"/>
      <c r="Z83" s="727"/>
      <c r="AA83" s="722"/>
      <c r="AB83" s="727"/>
      <c r="AC83" s="720"/>
      <c r="AD83" s="722" t="str">
        <f>+IF(OR(AB83=1,AB83&lt;=5),"Moderado",IF(OR(AB83=6,AB83&lt;=11),"Mayor","Catastrófico"))</f>
        <v>Moderado</v>
      </c>
      <c r="AE83" s="720"/>
      <c r="AF83" s="715"/>
      <c r="AG83" s="52"/>
      <c r="AH83" s="145"/>
      <c r="AI83" s="145"/>
      <c r="AJ83" s="145"/>
      <c r="AK83" s="28" t="str">
        <f t="shared" si="19"/>
        <v/>
      </c>
      <c r="AL83" s="145"/>
      <c r="AM83" s="28" t="str">
        <f t="shared" si="20"/>
        <v/>
      </c>
      <c r="AN83" s="140"/>
      <c r="AO83" s="28" t="str">
        <f t="shared" si="21"/>
        <v/>
      </c>
      <c r="AP83" s="140"/>
      <c r="AQ83" s="28" t="str">
        <f t="shared" si="22"/>
        <v/>
      </c>
      <c r="AR83" s="140"/>
      <c r="AS83" s="28" t="str">
        <f t="shared" si="23"/>
        <v/>
      </c>
      <c r="AT83" s="140"/>
      <c r="AU83" s="28" t="str">
        <f t="shared" si="24"/>
        <v/>
      </c>
      <c r="AV83" s="140"/>
      <c r="AW83" s="28" t="str">
        <f t="shared" si="25"/>
        <v/>
      </c>
      <c r="AX83" s="111" t="str">
        <f t="shared" si="26"/>
        <v/>
      </c>
      <c r="AY83" s="111" t="str">
        <f t="shared" si="27"/>
        <v/>
      </c>
      <c r="AZ83" s="141"/>
      <c r="BA83" s="153" t="str">
        <f t="shared" si="28"/>
        <v>Débil</v>
      </c>
      <c r="BB83" s="22" t="str">
        <f>IFERROR(VLOOKUP((CONCATENATE(AY83,BA83)),Listados!$U$3:$V$11,2,FALSE),"")</f>
        <v/>
      </c>
      <c r="BC83" s="111">
        <f t="shared" si="29"/>
        <v>100</v>
      </c>
      <c r="BD83" s="717"/>
      <c r="BE83" s="761"/>
      <c r="BF83" s="717"/>
      <c r="BG83" s="717"/>
      <c r="BH83" s="713"/>
      <c r="BI83" s="715"/>
      <c r="BJ83" s="713"/>
      <c r="BK83" s="713"/>
      <c r="BL83" s="799"/>
      <c r="BM83" s="800"/>
      <c r="BN83" s="801"/>
      <c r="BO83" s="799"/>
      <c r="BP83" s="800"/>
      <c r="BQ83" s="801"/>
      <c r="BR83" s="799"/>
      <c r="BS83" s="800"/>
      <c r="BT83" s="801"/>
    </row>
    <row r="84" spans="1:72" ht="90.75" customHeight="1" thickBot="1">
      <c r="A84" s="725"/>
      <c r="B84" s="777"/>
      <c r="C84" s="731"/>
      <c r="D84" s="781"/>
      <c r="E84" s="757"/>
      <c r="F84" s="771"/>
      <c r="G84" s="736"/>
      <c r="H84" s="764"/>
      <c r="I84" s="764"/>
      <c r="J84" s="764"/>
      <c r="K84" s="764"/>
      <c r="L84" s="764"/>
      <c r="M84" s="764"/>
      <c r="N84" s="764"/>
      <c r="O84" s="764"/>
      <c r="P84" s="764"/>
      <c r="Q84" s="764"/>
      <c r="R84" s="764"/>
      <c r="S84" s="764"/>
      <c r="T84" s="764"/>
      <c r="U84" s="764"/>
      <c r="V84" s="764"/>
      <c r="W84" s="764"/>
      <c r="X84" s="764"/>
      <c r="Y84" s="764"/>
      <c r="Z84" s="727"/>
      <c r="AA84" s="722"/>
      <c r="AB84" s="727"/>
      <c r="AC84" s="721"/>
      <c r="AD84" s="722" t="str">
        <f>+IF(OR(AB84=1,AB84&lt;=5),"Moderado",IF(OR(AB84=6,AB84&lt;=11),"Mayor","Catastrófico"))</f>
        <v>Moderado</v>
      </c>
      <c r="AE84" s="721"/>
      <c r="AF84" s="715"/>
      <c r="AG84" s="52"/>
      <c r="AH84" s="145"/>
      <c r="AI84" s="145"/>
      <c r="AJ84" s="145"/>
      <c r="AK84" s="28" t="str">
        <f t="shared" si="19"/>
        <v/>
      </c>
      <c r="AL84" s="145"/>
      <c r="AM84" s="28" t="str">
        <f t="shared" si="20"/>
        <v/>
      </c>
      <c r="AN84" s="140"/>
      <c r="AO84" s="28" t="str">
        <f t="shared" si="21"/>
        <v/>
      </c>
      <c r="AP84" s="140"/>
      <c r="AQ84" s="28" t="str">
        <f t="shared" si="22"/>
        <v/>
      </c>
      <c r="AR84" s="140"/>
      <c r="AS84" s="28" t="str">
        <f t="shared" si="23"/>
        <v/>
      </c>
      <c r="AT84" s="140"/>
      <c r="AU84" s="28" t="str">
        <f t="shared" si="24"/>
        <v/>
      </c>
      <c r="AV84" s="140"/>
      <c r="AW84" s="28" t="str">
        <f t="shared" si="25"/>
        <v/>
      </c>
      <c r="AX84" s="111" t="str">
        <f t="shared" si="26"/>
        <v/>
      </c>
      <c r="AY84" s="111" t="str">
        <f t="shared" si="27"/>
        <v/>
      </c>
      <c r="AZ84" s="141"/>
      <c r="BA84" s="153" t="str">
        <f t="shared" si="28"/>
        <v>Débil</v>
      </c>
      <c r="BB84" s="22" t="str">
        <f>IFERROR(VLOOKUP((CONCATENATE(AY84,BA84)),Listados!$U$3:$V$11,2,FALSE),"")</f>
        <v/>
      </c>
      <c r="BC84" s="111">
        <f t="shared" si="29"/>
        <v>100</v>
      </c>
      <c r="BD84" s="718"/>
      <c r="BE84" s="761"/>
      <c r="BF84" s="718"/>
      <c r="BG84" s="718"/>
      <c r="BH84" s="714"/>
      <c r="BI84" s="715"/>
      <c r="BJ84" s="714"/>
      <c r="BK84" s="714"/>
      <c r="BL84" s="799"/>
      <c r="BM84" s="800"/>
      <c r="BN84" s="801"/>
      <c r="BO84" s="799"/>
      <c r="BP84" s="800"/>
      <c r="BQ84" s="801"/>
      <c r="BR84" s="799"/>
      <c r="BS84" s="800"/>
      <c r="BT84" s="801"/>
    </row>
    <row r="85" spans="1:72" ht="67.5" customHeight="1" thickBot="1">
      <c r="A85" s="723">
        <v>14</v>
      </c>
      <c r="B85" s="776" t="s">
        <v>101</v>
      </c>
      <c r="C85" s="729" t="str">
        <f>IFERROR(VLOOKUP(B85,Listados!B$3:C$20,2,FALSE),"")</f>
        <v>Contar con  personal idoneo y calificado para el ejercicio de las funciones de la entidad, así mismo fortelcer las competencias, habilidades, conocimientos y mejoramiento de la calidad de la vida laboral de los servidores públicos, cumpliendo con todas las disposiciones legales vigentes.</v>
      </c>
      <c r="D85" s="735" t="s">
        <v>577</v>
      </c>
      <c r="E85" s="161" t="s">
        <v>578</v>
      </c>
      <c r="F85" s="18" t="s">
        <v>30</v>
      </c>
      <c r="G85" s="735" t="s">
        <v>568</v>
      </c>
      <c r="H85" s="763" t="s">
        <v>116</v>
      </c>
      <c r="I85" s="763" t="s">
        <v>116</v>
      </c>
      <c r="J85" s="763" t="s">
        <v>517</v>
      </c>
      <c r="K85" s="763" t="s">
        <v>120</v>
      </c>
      <c r="L85" s="763" t="s">
        <v>116</v>
      </c>
      <c r="M85" s="763" t="s">
        <v>120</v>
      </c>
      <c r="N85" s="763" t="s">
        <v>116</v>
      </c>
      <c r="O85" s="763" t="s">
        <v>120</v>
      </c>
      <c r="P85" s="763" t="s">
        <v>116</v>
      </c>
      <c r="Q85" s="763" t="s">
        <v>116</v>
      </c>
      <c r="R85" s="763" t="s">
        <v>116</v>
      </c>
      <c r="S85" s="763" t="s">
        <v>116</v>
      </c>
      <c r="T85" s="763" t="s">
        <v>116</v>
      </c>
      <c r="U85" s="763" t="s">
        <v>116</v>
      </c>
      <c r="V85" s="763" t="s">
        <v>116</v>
      </c>
      <c r="W85" s="763" t="s">
        <v>120</v>
      </c>
      <c r="X85" s="763" t="s">
        <v>120</v>
      </c>
      <c r="Y85" s="763" t="s">
        <v>120</v>
      </c>
      <c r="Z85" s="762" t="s">
        <v>120</v>
      </c>
      <c r="AA85" s="721">
        <f>COUNTIF(H85:Z90, "SI")</f>
        <v>11</v>
      </c>
      <c r="AB85" s="762" t="s">
        <v>44</v>
      </c>
      <c r="AC85" s="719">
        <f>+VLOOKUP(AB85,Listados!$K$8:$L$12,2,0)</f>
        <v>3</v>
      </c>
      <c r="AD85" s="721" t="str">
        <f>+IF(OR(AA85=1,AA85&lt;=5),"Moderado",IF(OR(AA85=6,AA85&lt;=11),"Mayor","Catastrófico"))</f>
        <v>Mayor</v>
      </c>
      <c r="AE85" s="719" t="e">
        <f>+VLOOKUP(AD85,Listados!K91:L95,2,0)</f>
        <v>#N/A</v>
      </c>
      <c r="AF85" s="714" t="str">
        <f>IF(AND(AB85&lt;&gt;"",AD85&lt;&gt;""),VLOOKUP(AB85&amp;AD85,Listados!$M$3:$N$27,2,FALSE),"")</f>
        <v>Extremo</v>
      </c>
      <c r="AG85" s="164" t="s">
        <v>579</v>
      </c>
      <c r="AH85" s="172" t="s">
        <v>578</v>
      </c>
      <c r="AI85" s="145"/>
      <c r="AJ85" s="145"/>
      <c r="AK85" s="28" t="str">
        <f t="shared" si="19"/>
        <v/>
      </c>
      <c r="AL85" s="145"/>
      <c r="AM85" s="28" t="str">
        <f t="shared" si="20"/>
        <v/>
      </c>
      <c r="AN85" s="140"/>
      <c r="AO85" s="28" t="str">
        <f t="shared" si="21"/>
        <v/>
      </c>
      <c r="AP85" s="140"/>
      <c r="AQ85" s="28" t="str">
        <f t="shared" si="22"/>
        <v/>
      </c>
      <c r="AR85" s="140"/>
      <c r="AS85" s="28" t="str">
        <f t="shared" si="23"/>
        <v/>
      </c>
      <c r="AT85" s="140"/>
      <c r="AU85" s="28" t="str">
        <f t="shared" si="24"/>
        <v/>
      </c>
      <c r="AV85" s="140"/>
      <c r="AW85" s="28" t="str">
        <f t="shared" si="25"/>
        <v/>
      </c>
      <c r="AX85" s="111" t="str">
        <f t="shared" si="26"/>
        <v/>
      </c>
      <c r="AY85" s="111" t="str">
        <f t="shared" si="27"/>
        <v/>
      </c>
      <c r="AZ85" s="141"/>
      <c r="BA85" s="153" t="str">
        <f t="shared" si="28"/>
        <v>Débil</v>
      </c>
      <c r="BB85" s="22" t="str">
        <f>IFERROR(VLOOKUP((CONCATENATE(AY85,BA85)),Listados!$U$3:$V$11,2,FALSE),"")</f>
        <v/>
      </c>
      <c r="BC85" s="111">
        <f t="shared" si="29"/>
        <v>100</v>
      </c>
      <c r="BD85" s="716">
        <f>AVERAGE(BC85:BC90)</f>
        <v>100</v>
      </c>
      <c r="BE85" s="718" t="str">
        <f>IF(BD85&lt;=50, "Débil", IF(BD85&lt;=99,"Moderado","Fuerte"))</f>
        <v>Fuerte</v>
      </c>
      <c r="BF85" s="716">
        <f>+IF(BE85="Fuerte",2,IF(BE85="Moderado",1,0))</f>
        <v>2</v>
      </c>
      <c r="BG85" s="716">
        <f>+AC85-BF85</f>
        <v>1</v>
      </c>
      <c r="BH85" s="712" t="str">
        <f>+VLOOKUP(BG85,Listados!$J$18:$K$24,2,TRUE)</f>
        <v>Rara Vez</v>
      </c>
      <c r="BI85" s="714" t="str">
        <f>IF(ISBLANK(AD85),"",AD85)</f>
        <v>Mayor</v>
      </c>
      <c r="BJ85" s="712" t="str">
        <f>IF(AND(BH85&lt;&gt;"",BI85&lt;&gt;""),VLOOKUP(BH85&amp;BI85,Listados!$M$3:$N$27,2,FALSE),"")</f>
        <v>Alto</v>
      </c>
      <c r="BK85" s="712" t="str">
        <f>+VLOOKUP(BJ85,Listados!$P$3:$Q$6,2,FALSE)</f>
        <v>Reducir el riesgo</v>
      </c>
      <c r="BL85" s="799"/>
      <c r="BM85" s="800"/>
      <c r="BN85" s="801"/>
      <c r="BO85" s="799"/>
      <c r="BP85" s="800"/>
      <c r="BQ85" s="801"/>
      <c r="BR85" s="799"/>
      <c r="BS85" s="800"/>
      <c r="BT85" s="801"/>
    </row>
    <row r="86" spans="1:72" ht="74.25" customHeight="1" thickBot="1">
      <c r="A86" s="724"/>
      <c r="B86" s="777"/>
      <c r="C86" s="730"/>
      <c r="D86" s="736"/>
      <c r="E86" s="161" t="s">
        <v>580</v>
      </c>
      <c r="F86" s="150" t="s">
        <v>30</v>
      </c>
      <c r="G86" s="736"/>
      <c r="H86" s="764"/>
      <c r="I86" s="764"/>
      <c r="J86" s="764"/>
      <c r="K86" s="764"/>
      <c r="L86" s="764"/>
      <c r="M86" s="764"/>
      <c r="N86" s="764"/>
      <c r="O86" s="764"/>
      <c r="P86" s="764"/>
      <c r="Q86" s="764"/>
      <c r="R86" s="764"/>
      <c r="S86" s="764"/>
      <c r="T86" s="764"/>
      <c r="U86" s="764"/>
      <c r="V86" s="764"/>
      <c r="W86" s="764"/>
      <c r="X86" s="764"/>
      <c r="Y86" s="764"/>
      <c r="Z86" s="727"/>
      <c r="AA86" s="722"/>
      <c r="AB86" s="727"/>
      <c r="AC86" s="720"/>
      <c r="AD86" s="722" t="str">
        <f>+IF(OR(AB86=1,AB86&lt;=5),"Moderado",IF(OR(AB86=6,AB86&lt;=11),"Mayor","Catastrófico"))</f>
        <v>Moderado</v>
      </c>
      <c r="AE86" s="720"/>
      <c r="AF86" s="715"/>
      <c r="AG86" s="164" t="s">
        <v>581</v>
      </c>
      <c r="AH86" s="172" t="s">
        <v>580</v>
      </c>
      <c r="AI86" s="145"/>
      <c r="AJ86" s="145"/>
      <c r="AK86" s="28" t="str">
        <f t="shared" si="19"/>
        <v/>
      </c>
      <c r="AL86" s="145"/>
      <c r="AM86" s="28" t="str">
        <f t="shared" si="20"/>
        <v/>
      </c>
      <c r="AN86" s="140"/>
      <c r="AO86" s="28" t="str">
        <f t="shared" si="21"/>
        <v/>
      </c>
      <c r="AP86" s="140"/>
      <c r="AQ86" s="28" t="str">
        <f t="shared" si="22"/>
        <v/>
      </c>
      <c r="AR86" s="140"/>
      <c r="AS86" s="28" t="str">
        <f t="shared" si="23"/>
        <v/>
      </c>
      <c r="AT86" s="140"/>
      <c r="AU86" s="28" t="str">
        <f t="shared" si="24"/>
        <v/>
      </c>
      <c r="AV86" s="140"/>
      <c r="AW86" s="28" t="str">
        <f t="shared" si="25"/>
        <v/>
      </c>
      <c r="AX86" s="111" t="str">
        <f t="shared" si="26"/>
        <v/>
      </c>
      <c r="AY86" s="111" t="str">
        <f t="shared" si="27"/>
        <v/>
      </c>
      <c r="AZ86" s="141"/>
      <c r="BA86" s="153" t="str">
        <f t="shared" si="28"/>
        <v>Débil</v>
      </c>
      <c r="BB86" s="22" t="str">
        <f>IFERROR(VLOOKUP((CONCATENATE(AY86,BA86)),Listados!$U$3:$V$11,2,FALSE),"")</f>
        <v/>
      </c>
      <c r="BC86" s="111">
        <f t="shared" si="29"/>
        <v>100</v>
      </c>
      <c r="BD86" s="717"/>
      <c r="BE86" s="761"/>
      <c r="BF86" s="717"/>
      <c r="BG86" s="717"/>
      <c r="BH86" s="713"/>
      <c r="BI86" s="715"/>
      <c r="BJ86" s="713"/>
      <c r="BK86" s="713"/>
      <c r="BL86" s="799"/>
      <c r="BM86" s="800"/>
      <c r="BN86" s="801"/>
      <c r="BO86" s="799"/>
      <c r="BP86" s="800"/>
      <c r="BQ86" s="801"/>
      <c r="BR86" s="799"/>
      <c r="BS86" s="800"/>
      <c r="BT86" s="801"/>
    </row>
    <row r="87" spans="1:72" ht="50.5" thickBot="1">
      <c r="A87" s="724"/>
      <c r="B87" s="777"/>
      <c r="C87" s="730"/>
      <c r="D87" s="736"/>
      <c r="E87" s="161" t="s">
        <v>582</v>
      </c>
      <c r="F87" s="150" t="s">
        <v>583</v>
      </c>
      <c r="G87" s="736"/>
      <c r="H87" s="764"/>
      <c r="I87" s="764"/>
      <c r="J87" s="764"/>
      <c r="K87" s="764"/>
      <c r="L87" s="764"/>
      <c r="M87" s="764"/>
      <c r="N87" s="764"/>
      <c r="O87" s="764"/>
      <c r="P87" s="764"/>
      <c r="Q87" s="764"/>
      <c r="R87" s="764"/>
      <c r="S87" s="764"/>
      <c r="T87" s="764"/>
      <c r="U87" s="764"/>
      <c r="V87" s="764"/>
      <c r="W87" s="764"/>
      <c r="X87" s="764"/>
      <c r="Y87" s="764"/>
      <c r="Z87" s="727"/>
      <c r="AA87" s="722"/>
      <c r="AB87" s="727"/>
      <c r="AC87" s="720"/>
      <c r="AD87" s="722" t="str">
        <f>+IF(OR(AB87=1,AB87&lt;=5),"Moderado",IF(OR(AB87=6,AB87&lt;=11),"Mayor","Catastrófico"))</f>
        <v>Moderado</v>
      </c>
      <c r="AE87" s="720"/>
      <c r="AF87" s="715"/>
      <c r="AG87" s="164" t="s">
        <v>581</v>
      </c>
      <c r="AH87" s="172" t="s">
        <v>582</v>
      </c>
      <c r="AI87" s="145"/>
      <c r="AJ87" s="145"/>
      <c r="AK87" s="28" t="str">
        <f t="shared" si="19"/>
        <v/>
      </c>
      <c r="AL87" s="145"/>
      <c r="AM87" s="28" t="str">
        <f t="shared" si="20"/>
        <v/>
      </c>
      <c r="AN87" s="140"/>
      <c r="AO87" s="28" t="str">
        <f t="shared" si="21"/>
        <v/>
      </c>
      <c r="AP87" s="140"/>
      <c r="AQ87" s="28" t="str">
        <f t="shared" si="22"/>
        <v/>
      </c>
      <c r="AR87" s="140"/>
      <c r="AS87" s="28" t="str">
        <f t="shared" si="23"/>
        <v/>
      </c>
      <c r="AT87" s="140"/>
      <c r="AU87" s="28" t="str">
        <f t="shared" si="24"/>
        <v/>
      </c>
      <c r="AV87" s="140"/>
      <c r="AW87" s="28" t="str">
        <f t="shared" si="25"/>
        <v/>
      </c>
      <c r="AX87" s="111" t="str">
        <f t="shared" si="26"/>
        <v/>
      </c>
      <c r="AY87" s="111" t="str">
        <f t="shared" si="27"/>
        <v/>
      </c>
      <c r="AZ87" s="141"/>
      <c r="BA87" s="153" t="str">
        <f t="shared" si="28"/>
        <v>Débil</v>
      </c>
      <c r="BB87" s="22" t="str">
        <f>IFERROR(VLOOKUP((CONCATENATE(AY87,BA87)),Listados!$U$3:$V$11,2,FALSE),"")</f>
        <v/>
      </c>
      <c r="BC87" s="111">
        <f t="shared" si="29"/>
        <v>100</v>
      </c>
      <c r="BD87" s="717"/>
      <c r="BE87" s="761"/>
      <c r="BF87" s="717"/>
      <c r="BG87" s="717"/>
      <c r="BH87" s="713"/>
      <c r="BI87" s="715"/>
      <c r="BJ87" s="713"/>
      <c r="BK87" s="713"/>
      <c r="BL87" s="799"/>
      <c r="BM87" s="800"/>
      <c r="BN87" s="801"/>
      <c r="BO87" s="799"/>
      <c r="BP87" s="800"/>
      <c r="BQ87" s="801"/>
      <c r="BR87" s="799"/>
      <c r="BS87" s="800"/>
      <c r="BT87" s="801"/>
    </row>
    <row r="88" spans="1:72" ht="15" thickBot="1">
      <c r="A88" s="724"/>
      <c r="B88" s="777"/>
      <c r="C88" s="730"/>
      <c r="D88" s="736"/>
      <c r="E88" s="755"/>
      <c r="F88" s="769"/>
      <c r="G88" s="736"/>
      <c r="H88" s="764"/>
      <c r="I88" s="764"/>
      <c r="J88" s="764"/>
      <c r="K88" s="764"/>
      <c r="L88" s="764"/>
      <c r="M88" s="764"/>
      <c r="N88" s="764"/>
      <c r="O88" s="764"/>
      <c r="P88" s="764"/>
      <c r="Q88" s="764"/>
      <c r="R88" s="764"/>
      <c r="S88" s="764"/>
      <c r="T88" s="764"/>
      <c r="U88" s="764"/>
      <c r="V88" s="764"/>
      <c r="W88" s="764"/>
      <c r="X88" s="764"/>
      <c r="Y88" s="764"/>
      <c r="Z88" s="727"/>
      <c r="AA88" s="722"/>
      <c r="AB88" s="727"/>
      <c r="AC88" s="720"/>
      <c r="AD88" s="722" t="str">
        <f>+IF(OR(AB88=1,AB88&lt;=5),"Moderado",IF(OR(AB88=6,AB88&lt;=11),"Mayor","Catastrófico"))</f>
        <v>Moderado</v>
      </c>
      <c r="AE88" s="720"/>
      <c r="AF88" s="715"/>
      <c r="AG88" s="52"/>
      <c r="AH88" s="145"/>
      <c r="AI88" s="145"/>
      <c r="AJ88" s="145"/>
      <c r="AK88" s="28" t="str">
        <f t="shared" si="19"/>
        <v/>
      </c>
      <c r="AL88" s="145"/>
      <c r="AM88" s="28" t="str">
        <f t="shared" si="20"/>
        <v/>
      </c>
      <c r="AN88" s="140"/>
      <c r="AO88" s="28" t="str">
        <f t="shared" si="21"/>
        <v/>
      </c>
      <c r="AP88" s="140"/>
      <c r="AQ88" s="28" t="str">
        <f t="shared" si="22"/>
        <v/>
      </c>
      <c r="AR88" s="140"/>
      <c r="AS88" s="28" t="str">
        <f t="shared" si="23"/>
        <v/>
      </c>
      <c r="AT88" s="140"/>
      <c r="AU88" s="28" t="str">
        <f t="shared" si="24"/>
        <v/>
      </c>
      <c r="AV88" s="140"/>
      <c r="AW88" s="28" t="str">
        <f t="shared" si="25"/>
        <v/>
      </c>
      <c r="AX88" s="111" t="str">
        <f t="shared" si="26"/>
        <v/>
      </c>
      <c r="AY88" s="111" t="str">
        <f t="shared" si="27"/>
        <v/>
      </c>
      <c r="AZ88" s="141"/>
      <c r="BA88" s="153" t="str">
        <f t="shared" si="28"/>
        <v>Débil</v>
      </c>
      <c r="BB88" s="22" t="str">
        <f>IFERROR(VLOOKUP((CONCATENATE(AY88,BA88)),Listados!$U$3:$V$11,2,FALSE),"")</f>
        <v/>
      </c>
      <c r="BC88" s="111">
        <f t="shared" si="29"/>
        <v>100</v>
      </c>
      <c r="BD88" s="717"/>
      <c r="BE88" s="761"/>
      <c r="BF88" s="717"/>
      <c r="BG88" s="717"/>
      <c r="BH88" s="713"/>
      <c r="BI88" s="715"/>
      <c r="BJ88" s="713"/>
      <c r="BK88" s="713"/>
      <c r="BL88" s="799"/>
      <c r="BM88" s="800"/>
      <c r="BN88" s="801"/>
      <c r="BO88" s="799"/>
      <c r="BP88" s="800"/>
      <c r="BQ88" s="801"/>
      <c r="BR88" s="799"/>
      <c r="BS88" s="800"/>
      <c r="BT88" s="801"/>
    </row>
    <row r="89" spans="1:72" ht="15" thickBot="1">
      <c r="A89" s="724"/>
      <c r="B89" s="777"/>
      <c r="C89" s="730"/>
      <c r="D89" s="736"/>
      <c r="E89" s="756"/>
      <c r="F89" s="770"/>
      <c r="G89" s="736"/>
      <c r="H89" s="764"/>
      <c r="I89" s="764"/>
      <c r="J89" s="764"/>
      <c r="K89" s="764"/>
      <c r="L89" s="764"/>
      <c r="M89" s="764"/>
      <c r="N89" s="764"/>
      <c r="O89" s="764"/>
      <c r="P89" s="764"/>
      <c r="Q89" s="764"/>
      <c r="R89" s="764"/>
      <c r="S89" s="764"/>
      <c r="T89" s="764"/>
      <c r="U89" s="764"/>
      <c r="V89" s="764"/>
      <c r="W89" s="764"/>
      <c r="X89" s="764"/>
      <c r="Y89" s="764"/>
      <c r="Z89" s="727"/>
      <c r="AA89" s="722"/>
      <c r="AB89" s="727"/>
      <c r="AC89" s="720"/>
      <c r="AD89" s="722" t="str">
        <f>+IF(OR(AB89=1,AB89&lt;=5),"Moderado",IF(OR(AB89=6,AB89&lt;=11),"Mayor","Catastrófico"))</f>
        <v>Moderado</v>
      </c>
      <c r="AE89" s="720"/>
      <c r="AF89" s="715"/>
      <c r="AG89" s="52"/>
      <c r="AH89" s="145"/>
      <c r="AI89" s="145"/>
      <c r="AJ89" s="145"/>
      <c r="AK89" s="28" t="str">
        <f t="shared" si="19"/>
        <v/>
      </c>
      <c r="AL89" s="145"/>
      <c r="AM89" s="28" t="str">
        <f t="shared" si="20"/>
        <v/>
      </c>
      <c r="AN89" s="140"/>
      <c r="AO89" s="28" t="str">
        <f t="shared" si="21"/>
        <v/>
      </c>
      <c r="AP89" s="140"/>
      <c r="AQ89" s="28" t="str">
        <f t="shared" si="22"/>
        <v/>
      </c>
      <c r="AR89" s="140"/>
      <c r="AS89" s="28" t="str">
        <f t="shared" si="23"/>
        <v/>
      </c>
      <c r="AT89" s="140"/>
      <c r="AU89" s="28" t="str">
        <f t="shared" si="24"/>
        <v/>
      </c>
      <c r="AV89" s="140"/>
      <c r="AW89" s="28" t="str">
        <f t="shared" si="25"/>
        <v/>
      </c>
      <c r="AX89" s="111" t="str">
        <f t="shared" si="26"/>
        <v/>
      </c>
      <c r="AY89" s="111" t="str">
        <f t="shared" si="27"/>
        <v/>
      </c>
      <c r="AZ89" s="141"/>
      <c r="BA89" s="153" t="str">
        <f t="shared" si="28"/>
        <v>Débil</v>
      </c>
      <c r="BB89" s="22" t="str">
        <f>IFERROR(VLOOKUP((CONCATENATE(AY89,BA89)),Listados!$U$3:$V$11,2,FALSE),"")</f>
        <v/>
      </c>
      <c r="BC89" s="111">
        <f t="shared" si="29"/>
        <v>100</v>
      </c>
      <c r="BD89" s="717"/>
      <c r="BE89" s="761"/>
      <c r="BF89" s="717"/>
      <c r="BG89" s="717"/>
      <c r="BH89" s="713"/>
      <c r="BI89" s="715"/>
      <c r="BJ89" s="713"/>
      <c r="BK89" s="713"/>
      <c r="BL89" s="799"/>
      <c r="BM89" s="800"/>
      <c r="BN89" s="801"/>
      <c r="BO89" s="799"/>
      <c r="BP89" s="800"/>
      <c r="BQ89" s="801"/>
      <c r="BR89" s="799"/>
      <c r="BS89" s="800"/>
      <c r="BT89" s="801"/>
    </row>
    <row r="90" spans="1:72" ht="59.25" customHeight="1" thickBot="1">
      <c r="A90" s="725"/>
      <c r="B90" s="777"/>
      <c r="C90" s="731"/>
      <c r="D90" s="781"/>
      <c r="E90" s="757"/>
      <c r="F90" s="771"/>
      <c r="G90" s="736"/>
      <c r="H90" s="764"/>
      <c r="I90" s="764"/>
      <c r="J90" s="764"/>
      <c r="K90" s="764"/>
      <c r="L90" s="764"/>
      <c r="M90" s="764"/>
      <c r="N90" s="764"/>
      <c r="O90" s="764"/>
      <c r="P90" s="764"/>
      <c r="Q90" s="764"/>
      <c r="R90" s="764"/>
      <c r="S90" s="764"/>
      <c r="T90" s="764"/>
      <c r="U90" s="764"/>
      <c r="V90" s="764"/>
      <c r="W90" s="764"/>
      <c r="X90" s="764"/>
      <c r="Y90" s="764"/>
      <c r="Z90" s="727"/>
      <c r="AA90" s="722"/>
      <c r="AB90" s="727"/>
      <c r="AC90" s="721"/>
      <c r="AD90" s="722" t="str">
        <f>+IF(OR(AB90=1,AB90&lt;=5),"Moderado",IF(OR(AB90=6,AB90&lt;=11),"Mayor","Catastrófico"))</f>
        <v>Moderado</v>
      </c>
      <c r="AE90" s="721"/>
      <c r="AF90" s="715"/>
      <c r="AG90" s="52"/>
      <c r="AH90" s="145"/>
      <c r="AI90" s="145"/>
      <c r="AJ90" s="145"/>
      <c r="AK90" s="28" t="str">
        <f t="shared" si="19"/>
        <v/>
      </c>
      <c r="AL90" s="145"/>
      <c r="AM90" s="28" t="str">
        <f t="shared" si="20"/>
        <v/>
      </c>
      <c r="AN90" s="140"/>
      <c r="AO90" s="28" t="str">
        <f t="shared" si="21"/>
        <v/>
      </c>
      <c r="AP90" s="140"/>
      <c r="AQ90" s="28" t="str">
        <f t="shared" si="22"/>
        <v/>
      </c>
      <c r="AR90" s="140"/>
      <c r="AS90" s="28" t="str">
        <f t="shared" si="23"/>
        <v/>
      </c>
      <c r="AT90" s="140"/>
      <c r="AU90" s="28" t="str">
        <f t="shared" si="24"/>
        <v/>
      </c>
      <c r="AV90" s="140"/>
      <c r="AW90" s="28" t="str">
        <f t="shared" si="25"/>
        <v/>
      </c>
      <c r="AX90" s="111" t="str">
        <f t="shared" si="26"/>
        <v/>
      </c>
      <c r="AY90" s="111" t="str">
        <f t="shared" si="27"/>
        <v/>
      </c>
      <c r="AZ90" s="141"/>
      <c r="BA90" s="153" t="str">
        <f t="shared" si="28"/>
        <v>Débil</v>
      </c>
      <c r="BB90" s="22" t="str">
        <f>IFERROR(VLOOKUP((CONCATENATE(AY90,BA90)),Listados!$U$3:$V$11,2,FALSE),"")</f>
        <v/>
      </c>
      <c r="BC90" s="111">
        <f t="shared" si="29"/>
        <v>100</v>
      </c>
      <c r="BD90" s="718"/>
      <c r="BE90" s="761"/>
      <c r="BF90" s="718"/>
      <c r="BG90" s="718"/>
      <c r="BH90" s="714"/>
      <c r="BI90" s="715"/>
      <c r="BJ90" s="714"/>
      <c r="BK90" s="714"/>
      <c r="BL90" s="799"/>
      <c r="BM90" s="800"/>
      <c r="BN90" s="801"/>
      <c r="BO90" s="799"/>
      <c r="BP90" s="800"/>
      <c r="BQ90" s="801"/>
      <c r="BR90" s="799"/>
      <c r="BS90" s="800"/>
      <c r="BT90" s="801"/>
    </row>
    <row r="91" spans="1:72" ht="110.25" customHeight="1" thickBot="1">
      <c r="A91" s="723">
        <v>15</v>
      </c>
      <c r="B91" s="776" t="s">
        <v>101</v>
      </c>
      <c r="C91" s="729" t="str">
        <f>IFERROR(VLOOKUP(B91,Listados!B$3:C$20,2,FALSE),"")</f>
        <v>Contar con  personal idoneo y calificado para el ejercicio de las funciones de la entidad, así mismo fortelcer las competencias, habilidades, conocimientos y mejoramiento de la calidad de la vida laboral de los servidores públicos, cumpliendo con todas las disposiciones legales vigentes.</v>
      </c>
      <c r="D91" s="735" t="s">
        <v>1010</v>
      </c>
      <c r="E91" s="105" t="s">
        <v>1007</v>
      </c>
      <c r="F91" s="109" t="s">
        <v>16</v>
      </c>
      <c r="G91" s="735" t="s">
        <v>1008</v>
      </c>
      <c r="H91" s="763" t="s">
        <v>116</v>
      </c>
      <c r="I91" s="763" t="s">
        <v>116</v>
      </c>
      <c r="J91" s="763" t="s">
        <v>120</v>
      </c>
      <c r="K91" s="763" t="s">
        <v>120</v>
      </c>
      <c r="L91" s="763" t="s">
        <v>120</v>
      </c>
      <c r="M91" s="763" t="s">
        <v>120</v>
      </c>
      <c r="N91" s="763" t="s">
        <v>120</v>
      </c>
      <c r="O91" s="763" t="s">
        <v>120</v>
      </c>
      <c r="P91" s="763" t="s">
        <v>120</v>
      </c>
      <c r="Q91" s="763" t="s">
        <v>116</v>
      </c>
      <c r="R91" s="763" t="s">
        <v>120</v>
      </c>
      <c r="S91" s="763" t="s">
        <v>116</v>
      </c>
      <c r="T91" s="763" t="s">
        <v>120</v>
      </c>
      <c r="U91" s="763" t="s">
        <v>116</v>
      </c>
      <c r="V91" s="763" t="s">
        <v>120</v>
      </c>
      <c r="W91" s="763" t="s">
        <v>120</v>
      </c>
      <c r="X91" s="763" t="s">
        <v>120</v>
      </c>
      <c r="Y91" s="763" t="s">
        <v>120</v>
      </c>
      <c r="Z91" s="762" t="s">
        <v>120</v>
      </c>
      <c r="AA91" s="721">
        <f>COUNTIF(H91:Z96, "SI")</f>
        <v>5</v>
      </c>
      <c r="AB91" s="762" t="s">
        <v>21</v>
      </c>
      <c r="AC91" s="719">
        <f>+VLOOKUP(AB91,Listados!$K$8:$L$12,2,0)</f>
        <v>1</v>
      </c>
      <c r="AD91" s="721" t="str">
        <f>+IF(OR(AA91=1,AA91&lt;=5),"Moderado",IF(OR(AA91=6,AA91&lt;=11),"Mayor","Catastrófico"))</f>
        <v>Moderado</v>
      </c>
      <c r="AE91" s="719" t="e">
        <f>+VLOOKUP(AD91,Listados!K97:L101,2,0)</f>
        <v>#N/A</v>
      </c>
      <c r="AF91" s="714" t="str">
        <f>IF(AND(AB91&lt;&gt;"",AD91&lt;&gt;""),VLOOKUP(AB91&amp;AD91,Listados!$M$3:$N$27,2,FALSE),"")</f>
        <v>Moderado</v>
      </c>
      <c r="AG91" s="52" t="s">
        <v>1022</v>
      </c>
      <c r="AH91" s="143" t="s">
        <v>1007</v>
      </c>
      <c r="AI91" s="145" t="s">
        <v>20</v>
      </c>
      <c r="AJ91" s="145" t="s">
        <v>116</v>
      </c>
      <c r="AK91" s="28">
        <f t="shared" si="19"/>
        <v>15</v>
      </c>
      <c r="AL91" s="145" t="s">
        <v>116</v>
      </c>
      <c r="AM91" s="28">
        <f t="shared" si="20"/>
        <v>15</v>
      </c>
      <c r="AN91" s="140" t="s">
        <v>116</v>
      </c>
      <c r="AO91" s="28">
        <f t="shared" si="21"/>
        <v>15</v>
      </c>
      <c r="AP91" s="140" t="s">
        <v>116</v>
      </c>
      <c r="AQ91" s="28" t="str">
        <f t="shared" si="22"/>
        <v/>
      </c>
      <c r="AR91" s="140" t="s">
        <v>116</v>
      </c>
      <c r="AS91" s="28">
        <f t="shared" si="23"/>
        <v>15</v>
      </c>
      <c r="AT91" s="140" t="s">
        <v>116</v>
      </c>
      <c r="AU91" s="28">
        <f t="shared" si="24"/>
        <v>15</v>
      </c>
      <c r="AV91" s="140" t="s">
        <v>117</v>
      </c>
      <c r="AW91" s="28">
        <f t="shared" si="25"/>
        <v>10</v>
      </c>
      <c r="AX91" s="111">
        <f t="shared" si="26"/>
        <v>85</v>
      </c>
      <c r="AY91" s="111" t="str">
        <f t="shared" si="27"/>
        <v>Débil</v>
      </c>
      <c r="AZ91" s="141" t="s">
        <v>118</v>
      </c>
      <c r="BA91" s="153" t="str">
        <f t="shared" si="28"/>
        <v>Fuerte</v>
      </c>
      <c r="BB91" s="22" t="str">
        <f>IFERROR(VLOOKUP((CONCATENATE(AY91,BA91)),Listados!$U$3:$V$11,2,FALSE),"")</f>
        <v>Débil</v>
      </c>
      <c r="BC91" s="111">
        <f t="shared" si="29"/>
        <v>0</v>
      </c>
      <c r="BD91" s="716">
        <f>AVERAGE(BC91:BC96)</f>
        <v>66.666666666666671</v>
      </c>
      <c r="BE91" s="718" t="str">
        <f>IF(BD91&lt;=50, "Débil", IF(BD91&lt;=99,"Moderado","Fuerte"))</f>
        <v>Moderado</v>
      </c>
      <c r="BF91" s="716">
        <f>+IF(BE91="Fuerte",2,IF(BE91="Moderado",1,0))</f>
        <v>1</v>
      </c>
      <c r="BG91" s="716">
        <f>+AC91-BF91</f>
        <v>0</v>
      </c>
      <c r="BH91" s="712" t="str">
        <f>+VLOOKUP(BG91,Listados!$J$18:$K$24,2,TRUE)</f>
        <v>Rara Vez</v>
      </c>
      <c r="BI91" s="714" t="str">
        <f>IF(ISBLANK(AD91),"",AD91)</f>
        <v>Moderado</v>
      </c>
      <c r="BJ91" s="712" t="str">
        <f>IF(AND(BH91&lt;&gt;"",BI91&lt;&gt;""),VLOOKUP(BH91&amp;BI91,Listados!$M$3:$N$27,2,FALSE),"")</f>
        <v>Moderado</v>
      </c>
      <c r="BK91" s="712" t="str">
        <f>+VLOOKUP(BJ91,Listados!$P$3:$Q$6,2,FALSE)</f>
        <v xml:space="preserve"> Reducir el riesgo</v>
      </c>
      <c r="BL91" s="799"/>
      <c r="BM91" s="800"/>
      <c r="BN91" s="801"/>
      <c r="BO91" s="799"/>
      <c r="BP91" s="800"/>
      <c r="BQ91" s="801"/>
      <c r="BR91" s="799"/>
      <c r="BS91" s="800"/>
      <c r="BT91" s="801"/>
    </row>
    <row r="92" spans="1:72" ht="87.75" customHeight="1" thickBot="1">
      <c r="A92" s="724"/>
      <c r="B92" s="777"/>
      <c r="C92" s="730"/>
      <c r="D92" s="736"/>
      <c r="E92" s="195" t="s">
        <v>1009</v>
      </c>
      <c r="F92" s="196" t="s">
        <v>30</v>
      </c>
      <c r="G92" s="782"/>
      <c r="H92" s="786"/>
      <c r="I92" s="786"/>
      <c r="J92" s="786"/>
      <c r="K92" s="786"/>
      <c r="L92" s="786"/>
      <c r="M92" s="786"/>
      <c r="N92" s="786"/>
      <c r="O92" s="786"/>
      <c r="P92" s="786"/>
      <c r="Q92" s="786"/>
      <c r="R92" s="786"/>
      <c r="S92" s="786"/>
      <c r="T92" s="786"/>
      <c r="U92" s="786"/>
      <c r="V92" s="786"/>
      <c r="W92" s="786"/>
      <c r="X92" s="786"/>
      <c r="Y92" s="786"/>
      <c r="Z92" s="787"/>
      <c r="AA92" s="722"/>
      <c r="AB92" s="727"/>
      <c r="AC92" s="720"/>
      <c r="AD92" s="722" t="str">
        <f>+IF(OR(AB92=1,AB92&lt;=5),"Moderado",IF(OR(AB92=6,AB92&lt;=11),"Mayor","Catastrófico"))</f>
        <v>Moderado</v>
      </c>
      <c r="AE92" s="720"/>
      <c r="AF92" s="715"/>
      <c r="AG92" s="52" t="s">
        <v>1023</v>
      </c>
      <c r="AH92" s="143" t="s">
        <v>1007</v>
      </c>
      <c r="AI92" s="145" t="s">
        <v>123</v>
      </c>
      <c r="AJ92" s="145" t="s">
        <v>116</v>
      </c>
      <c r="AK92" s="28">
        <f t="shared" si="19"/>
        <v>15</v>
      </c>
      <c r="AL92" s="145" t="s">
        <v>116</v>
      </c>
      <c r="AM92" s="28">
        <f t="shared" si="20"/>
        <v>15</v>
      </c>
      <c r="AN92" s="140" t="s">
        <v>116</v>
      </c>
      <c r="AO92" s="28">
        <f t="shared" si="21"/>
        <v>15</v>
      </c>
      <c r="AP92" s="140" t="s">
        <v>116</v>
      </c>
      <c r="AQ92" s="28" t="str">
        <f t="shared" si="22"/>
        <v/>
      </c>
      <c r="AR92" s="140" t="s">
        <v>116</v>
      </c>
      <c r="AS92" s="28">
        <f t="shared" si="23"/>
        <v>15</v>
      </c>
      <c r="AT92" s="140" t="s">
        <v>116</v>
      </c>
      <c r="AU92" s="28">
        <f t="shared" si="24"/>
        <v>15</v>
      </c>
      <c r="AV92" s="140" t="s">
        <v>117</v>
      </c>
      <c r="AW92" s="28">
        <f t="shared" si="25"/>
        <v>10</v>
      </c>
      <c r="AX92" s="111">
        <f t="shared" si="26"/>
        <v>85</v>
      </c>
      <c r="AY92" s="111" t="str">
        <f t="shared" si="27"/>
        <v>Débil</v>
      </c>
      <c r="AZ92" s="141" t="s">
        <v>118</v>
      </c>
      <c r="BA92" s="153" t="str">
        <f t="shared" si="28"/>
        <v>Fuerte</v>
      </c>
      <c r="BB92" s="22" t="str">
        <f>IFERROR(VLOOKUP((CONCATENATE(AY92,BA92)),Listados!$U$3:$V$11,2,FALSE),"")</f>
        <v>Débil</v>
      </c>
      <c r="BC92" s="111">
        <f t="shared" si="29"/>
        <v>0</v>
      </c>
      <c r="BD92" s="717"/>
      <c r="BE92" s="761"/>
      <c r="BF92" s="717"/>
      <c r="BG92" s="717"/>
      <c r="BH92" s="713"/>
      <c r="BI92" s="715"/>
      <c r="BJ92" s="713"/>
      <c r="BK92" s="713"/>
      <c r="BL92" s="799"/>
      <c r="BM92" s="800"/>
      <c r="BN92" s="801"/>
      <c r="BO92" s="799"/>
      <c r="BP92" s="800"/>
      <c r="BQ92" s="801"/>
      <c r="BR92" s="799"/>
      <c r="BS92" s="800"/>
      <c r="BT92" s="801"/>
    </row>
    <row r="93" spans="1:72" ht="16" thickBot="1">
      <c r="A93" s="724"/>
      <c r="B93" s="777"/>
      <c r="C93" s="730"/>
      <c r="D93" s="736"/>
      <c r="E93" s="195"/>
      <c r="F93" s="196"/>
      <c r="G93" s="782"/>
      <c r="H93" s="786"/>
      <c r="I93" s="786"/>
      <c r="J93" s="786"/>
      <c r="K93" s="786"/>
      <c r="L93" s="786"/>
      <c r="M93" s="786"/>
      <c r="N93" s="786"/>
      <c r="O93" s="786"/>
      <c r="P93" s="786"/>
      <c r="Q93" s="786"/>
      <c r="R93" s="786"/>
      <c r="S93" s="786"/>
      <c r="T93" s="786"/>
      <c r="U93" s="786"/>
      <c r="V93" s="786"/>
      <c r="W93" s="786"/>
      <c r="X93" s="786"/>
      <c r="Y93" s="786"/>
      <c r="Z93" s="787"/>
      <c r="AA93" s="722"/>
      <c r="AB93" s="727"/>
      <c r="AC93" s="720"/>
      <c r="AD93" s="722" t="str">
        <f>+IF(OR(AB93=1,AB93&lt;=5),"Moderado",IF(OR(AB93=6,AB93&lt;=11),"Mayor","Catastrófico"))</f>
        <v>Moderado</v>
      </c>
      <c r="AE93" s="720"/>
      <c r="AF93" s="715"/>
      <c r="AG93" s="52"/>
      <c r="AH93" s="145"/>
      <c r="AI93" s="145"/>
      <c r="AJ93" s="145"/>
      <c r="AK93" s="28" t="str">
        <f t="shared" si="19"/>
        <v/>
      </c>
      <c r="AL93" s="145"/>
      <c r="AM93" s="28" t="str">
        <f t="shared" si="20"/>
        <v/>
      </c>
      <c r="AN93" s="140"/>
      <c r="AO93" s="28" t="str">
        <f t="shared" si="21"/>
        <v/>
      </c>
      <c r="AP93" s="140"/>
      <c r="AQ93" s="28" t="str">
        <f t="shared" si="22"/>
        <v/>
      </c>
      <c r="AR93" s="140"/>
      <c r="AS93" s="28" t="str">
        <f t="shared" si="23"/>
        <v/>
      </c>
      <c r="AT93" s="140"/>
      <c r="AU93" s="28" t="str">
        <f t="shared" si="24"/>
        <v/>
      </c>
      <c r="AV93" s="140"/>
      <c r="AW93" s="28" t="str">
        <f t="shared" si="25"/>
        <v/>
      </c>
      <c r="AX93" s="111" t="str">
        <f t="shared" si="26"/>
        <v/>
      </c>
      <c r="AY93" s="111" t="str">
        <f t="shared" si="27"/>
        <v/>
      </c>
      <c r="AZ93" s="141"/>
      <c r="BA93" s="153" t="str">
        <f t="shared" si="28"/>
        <v>Débil</v>
      </c>
      <c r="BB93" s="22" t="str">
        <f>IFERROR(VLOOKUP((CONCATENATE(AY93,BA93)),Listados!$U$3:$V$11,2,FALSE),"")</f>
        <v/>
      </c>
      <c r="BC93" s="111">
        <f t="shared" si="29"/>
        <v>100</v>
      </c>
      <c r="BD93" s="717"/>
      <c r="BE93" s="761"/>
      <c r="BF93" s="717"/>
      <c r="BG93" s="717"/>
      <c r="BH93" s="713"/>
      <c r="BI93" s="715"/>
      <c r="BJ93" s="713"/>
      <c r="BK93" s="713"/>
      <c r="BL93" s="799"/>
      <c r="BM93" s="800"/>
      <c r="BN93" s="801"/>
      <c r="BO93" s="799"/>
      <c r="BP93" s="800"/>
      <c r="BQ93" s="801"/>
      <c r="BR93" s="799"/>
      <c r="BS93" s="800"/>
      <c r="BT93" s="801"/>
    </row>
    <row r="94" spans="1:72" ht="15" thickBot="1">
      <c r="A94" s="724"/>
      <c r="B94" s="777"/>
      <c r="C94" s="730"/>
      <c r="D94" s="736"/>
      <c r="E94" s="779"/>
      <c r="F94" s="780"/>
      <c r="G94" s="782"/>
      <c r="H94" s="786"/>
      <c r="I94" s="786"/>
      <c r="J94" s="786"/>
      <c r="K94" s="786"/>
      <c r="L94" s="786"/>
      <c r="M94" s="786"/>
      <c r="N94" s="786"/>
      <c r="O94" s="786"/>
      <c r="P94" s="786"/>
      <c r="Q94" s="786"/>
      <c r="R94" s="786"/>
      <c r="S94" s="786"/>
      <c r="T94" s="786"/>
      <c r="U94" s="786"/>
      <c r="V94" s="786"/>
      <c r="W94" s="786"/>
      <c r="X94" s="786"/>
      <c r="Y94" s="786"/>
      <c r="Z94" s="787"/>
      <c r="AA94" s="722"/>
      <c r="AB94" s="727"/>
      <c r="AC94" s="720"/>
      <c r="AD94" s="722" t="str">
        <f>+IF(OR(AB94=1,AB94&lt;=5),"Moderado",IF(OR(AB94=6,AB94&lt;=11),"Mayor","Catastrófico"))</f>
        <v>Moderado</v>
      </c>
      <c r="AE94" s="720"/>
      <c r="AF94" s="715"/>
      <c r="AG94" s="52"/>
      <c r="AH94" s="145"/>
      <c r="AI94" s="145"/>
      <c r="AJ94" s="145"/>
      <c r="AK94" s="28" t="str">
        <f t="shared" si="19"/>
        <v/>
      </c>
      <c r="AL94" s="145"/>
      <c r="AM94" s="28" t="str">
        <f t="shared" si="20"/>
        <v/>
      </c>
      <c r="AN94" s="140"/>
      <c r="AO94" s="28" t="str">
        <f t="shared" si="21"/>
        <v/>
      </c>
      <c r="AP94" s="140"/>
      <c r="AQ94" s="28" t="str">
        <f t="shared" si="22"/>
        <v/>
      </c>
      <c r="AR94" s="140"/>
      <c r="AS94" s="28" t="str">
        <f t="shared" si="23"/>
        <v/>
      </c>
      <c r="AT94" s="140"/>
      <c r="AU94" s="28" t="str">
        <f t="shared" si="24"/>
        <v/>
      </c>
      <c r="AV94" s="140"/>
      <c r="AW94" s="28" t="str">
        <f t="shared" si="25"/>
        <v/>
      </c>
      <c r="AX94" s="111" t="str">
        <f t="shared" si="26"/>
        <v/>
      </c>
      <c r="AY94" s="111" t="str">
        <f t="shared" si="27"/>
        <v/>
      </c>
      <c r="AZ94" s="141"/>
      <c r="BA94" s="153" t="str">
        <f t="shared" si="28"/>
        <v>Débil</v>
      </c>
      <c r="BB94" s="22" t="str">
        <f>IFERROR(VLOOKUP((CONCATENATE(AY94,BA94)),Listados!$U$3:$V$11,2,FALSE),"")</f>
        <v/>
      </c>
      <c r="BC94" s="111">
        <f t="shared" si="29"/>
        <v>100</v>
      </c>
      <c r="BD94" s="717"/>
      <c r="BE94" s="761"/>
      <c r="BF94" s="717"/>
      <c r="BG94" s="717"/>
      <c r="BH94" s="713"/>
      <c r="BI94" s="715"/>
      <c r="BJ94" s="713"/>
      <c r="BK94" s="713"/>
      <c r="BL94" s="799"/>
      <c r="BM94" s="800"/>
      <c r="BN94" s="801"/>
      <c r="BO94" s="799"/>
      <c r="BP94" s="800"/>
      <c r="BQ94" s="801"/>
      <c r="BR94" s="799"/>
      <c r="BS94" s="800"/>
      <c r="BT94" s="801"/>
    </row>
    <row r="95" spans="1:72" ht="15" thickBot="1">
      <c r="A95" s="724"/>
      <c r="B95" s="777"/>
      <c r="C95" s="730"/>
      <c r="D95" s="736"/>
      <c r="E95" s="756"/>
      <c r="F95" s="759"/>
      <c r="G95" s="782"/>
      <c r="H95" s="786"/>
      <c r="I95" s="786"/>
      <c r="J95" s="786"/>
      <c r="K95" s="786"/>
      <c r="L95" s="786"/>
      <c r="M95" s="786"/>
      <c r="N95" s="786"/>
      <c r="O95" s="786"/>
      <c r="P95" s="786"/>
      <c r="Q95" s="786"/>
      <c r="R95" s="786"/>
      <c r="S95" s="786"/>
      <c r="T95" s="786"/>
      <c r="U95" s="786"/>
      <c r="V95" s="786"/>
      <c r="W95" s="786"/>
      <c r="X95" s="786"/>
      <c r="Y95" s="786"/>
      <c r="Z95" s="787"/>
      <c r="AA95" s="722"/>
      <c r="AB95" s="727"/>
      <c r="AC95" s="720"/>
      <c r="AD95" s="722" t="str">
        <f>+IF(OR(AB95=1,AB95&lt;=5),"Moderado",IF(OR(AB95=6,AB95&lt;=11),"Mayor","Catastrófico"))</f>
        <v>Moderado</v>
      </c>
      <c r="AE95" s="720"/>
      <c r="AF95" s="715"/>
      <c r="AG95" s="52"/>
      <c r="AH95" s="145"/>
      <c r="AI95" s="145"/>
      <c r="AJ95" s="145"/>
      <c r="AK95" s="28" t="str">
        <f t="shared" si="19"/>
        <v/>
      </c>
      <c r="AL95" s="145"/>
      <c r="AM95" s="28" t="str">
        <f t="shared" si="20"/>
        <v/>
      </c>
      <c r="AN95" s="140"/>
      <c r="AO95" s="28" t="str">
        <f t="shared" si="21"/>
        <v/>
      </c>
      <c r="AP95" s="140"/>
      <c r="AQ95" s="28" t="str">
        <f t="shared" si="22"/>
        <v/>
      </c>
      <c r="AR95" s="140"/>
      <c r="AS95" s="28" t="str">
        <f t="shared" si="23"/>
        <v/>
      </c>
      <c r="AT95" s="140"/>
      <c r="AU95" s="28" t="str">
        <f t="shared" si="24"/>
        <v/>
      </c>
      <c r="AV95" s="140"/>
      <c r="AW95" s="28" t="str">
        <f t="shared" si="25"/>
        <v/>
      </c>
      <c r="AX95" s="111" t="str">
        <f t="shared" si="26"/>
        <v/>
      </c>
      <c r="AY95" s="111" t="str">
        <f t="shared" si="27"/>
        <v/>
      </c>
      <c r="AZ95" s="141"/>
      <c r="BA95" s="153" t="str">
        <f t="shared" si="28"/>
        <v>Débil</v>
      </c>
      <c r="BB95" s="22" t="str">
        <f>IFERROR(VLOOKUP((CONCATENATE(AY95,BA95)),Listados!$U$3:$V$11,2,FALSE),"")</f>
        <v/>
      </c>
      <c r="BC95" s="111">
        <f t="shared" si="29"/>
        <v>100</v>
      </c>
      <c r="BD95" s="717"/>
      <c r="BE95" s="761"/>
      <c r="BF95" s="717"/>
      <c r="BG95" s="717"/>
      <c r="BH95" s="713"/>
      <c r="BI95" s="715"/>
      <c r="BJ95" s="713"/>
      <c r="BK95" s="713"/>
      <c r="BL95" s="799"/>
      <c r="BM95" s="800"/>
      <c r="BN95" s="801"/>
      <c r="BO95" s="799"/>
      <c r="BP95" s="800"/>
      <c r="BQ95" s="801"/>
      <c r="BR95" s="799"/>
      <c r="BS95" s="800"/>
      <c r="BT95" s="801"/>
    </row>
    <row r="96" spans="1:72" ht="15" thickBot="1">
      <c r="A96" s="725"/>
      <c r="B96" s="777"/>
      <c r="C96" s="731"/>
      <c r="D96" s="781"/>
      <c r="E96" s="757"/>
      <c r="F96" s="760"/>
      <c r="G96" s="782"/>
      <c r="H96" s="786"/>
      <c r="I96" s="786"/>
      <c r="J96" s="786"/>
      <c r="K96" s="786"/>
      <c r="L96" s="786"/>
      <c r="M96" s="786"/>
      <c r="N96" s="786"/>
      <c r="O96" s="786"/>
      <c r="P96" s="786"/>
      <c r="Q96" s="786"/>
      <c r="R96" s="786"/>
      <c r="S96" s="786"/>
      <c r="T96" s="786"/>
      <c r="U96" s="786"/>
      <c r="V96" s="786"/>
      <c r="W96" s="786"/>
      <c r="X96" s="786"/>
      <c r="Y96" s="786"/>
      <c r="Z96" s="787"/>
      <c r="AA96" s="722"/>
      <c r="AB96" s="727"/>
      <c r="AC96" s="721"/>
      <c r="AD96" s="722" t="str">
        <f>+IF(OR(AB96=1,AB96&lt;=5),"Moderado",IF(OR(AB96=6,AB96&lt;=11),"Mayor","Catastrófico"))</f>
        <v>Moderado</v>
      </c>
      <c r="AE96" s="721"/>
      <c r="AF96" s="715"/>
      <c r="AG96" s="52"/>
      <c r="AH96" s="145"/>
      <c r="AI96" s="145"/>
      <c r="AJ96" s="145"/>
      <c r="AK96" s="28" t="str">
        <f t="shared" si="19"/>
        <v/>
      </c>
      <c r="AL96" s="145"/>
      <c r="AM96" s="28" t="str">
        <f t="shared" si="20"/>
        <v/>
      </c>
      <c r="AN96" s="140"/>
      <c r="AO96" s="28" t="str">
        <f t="shared" si="21"/>
        <v/>
      </c>
      <c r="AP96" s="140"/>
      <c r="AQ96" s="28" t="str">
        <f t="shared" si="22"/>
        <v/>
      </c>
      <c r="AR96" s="140"/>
      <c r="AS96" s="28" t="str">
        <f t="shared" si="23"/>
        <v/>
      </c>
      <c r="AT96" s="140"/>
      <c r="AU96" s="28" t="str">
        <f t="shared" si="24"/>
        <v/>
      </c>
      <c r="AV96" s="140"/>
      <c r="AW96" s="28" t="str">
        <f t="shared" si="25"/>
        <v/>
      </c>
      <c r="AX96" s="111" t="str">
        <f t="shared" si="26"/>
        <v/>
      </c>
      <c r="AY96" s="111" t="str">
        <f t="shared" si="27"/>
        <v/>
      </c>
      <c r="AZ96" s="141"/>
      <c r="BA96" s="153" t="str">
        <f t="shared" si="28"/>
        <v>Débil</v>
      </c>
      <c r="BB96" s="22" t="str">
        <f>IFERROR(VLOOKUP((CONCATENATE(AY96,BA96)),Listados!$U$3:$V$11,2,FALSE),"")</f>
        <v/>
      </c>
      <c r="BC96" s="111">
        <f t="shared" si="29"/>
        <v>100</v>
      </c>
      <c r="BD96" s="718"/>
      <c r="BE96" s="761"/>
      <c r="BF96" s="718"/>
      <c r="BG96" s="718"/>
      <c r="BH96" s="714"/>
      <c r="BI96" s="715"/>
      <c r="BJ96" s="714"/>
      <c r="BK96" s="714"/>
      <c r="BL96" s="799"/>
      <c r="BM96" s="800"/>
      <c r="BN96" s="801"/>
      <c r="BO96" s="799"/>
      <c r="BP96" s="800"/>
      <c r="BQ96" s="801"/>
      <c r="BR96" s="799"/>
      <c r="BS96" s="800"/>
      <c r="BT96" s="801"/>
    </row>
    <row r="97" spans="1:72" ht="15" thickBot="1">
      <c r="A97" s="723">
        <v>16</v>
      </c>
      <c r="B97" s="776"/>
      <c r="C97" s="729" t="str">
        <f>IFERROR(VLOOKUP(B97,Listados!B$3:C$20,2,FALSE),"")</f>
        <v/>
      </c>
      <c r="D97" s="735" t="s">
        <v>584</v>
      </c>
      <c r="E97" s="105"/>
      <c r="F97" s="18"/>
      <c r="G97" s="735"/>
      <c r="H97" s="763"/>
      <c r="I97" s="763"/>
      <c r="J97" s="763"/>
      <c r="K97" s="763"/>
      <c r="L97" s="763"/>
      <c r="M97" s="763"/>
      <c r="N97" s="763"/>
      <c r="O97" s="763"/>
      <c r="P97" s="763"/>
      <c r="Q97" s="763"/>
      <c r="R97" s="763"/>
      <c r="S97" s="763"/>
      <c r="T97" s="763"/>
      <c r="U97" s="763"/>
      <c r="V97" s="763"/>
      <c r="W97" s="763"/>
      <c r="X97" s="763"/>
      <c r="Y97" s="763"/>
      <c r="Z97" s="762"/>
      <c r="AA97" s="721">
        <f>COUNTIF(H97:Z102, "SI")</f>
        <v>0</v>
      </c>
      <c r="AB97" s="762"/>
      <c r="AC97" s="719" t="e">
        <f>+VLOOKUP(AB97,Listados!$K$8:$L$12,2,0)</f>
        <v>#N/A</v>
      </c>
      <c r="AD97" s="721" t="str">
        <f>+IF(OR(AA97=1,AA97&lt;=5),"Moderado",IF(OR(AA97=6,AA97&lt;=11),"Mayor","Catastrófico"))</f>
        <v>Moderado</v>
      </c>
      <c r="AE97" s="719" t="e">
        <f>+VLOOKUP(AD97,Listados!K103:L107,2,0)</f>
        <v>#N/A</v>
      </c>
      <c r="AF97" s="714" t="str">
        <f>IF(AND(AB97&lt;&gt;"",AD97&lt;&gt;""),VLOOKUP(AB97&amp;AD97,Listados!$M$3:$N$27,2,FALSE),"")</f>
        <v/>
      </c>
      <c r="AG97" s="52"/>
      <c r="AH97" s="145"/>
      <c r="AI97" s="145"/>
      <c r="AJ97" s="145"/>
      <c r="AK97" s="28" t="str">
        <f t="shared" si="19"/>
        <v/>
      </c>
      <c r="AL97" s="145"/>
      <c r="AM97" s="28" t="str">
        <f t="shared" si="20"/>
        <v/>
      </c>
      <c r="AN97" s="140"/>
      <c r="AO97" s="28" t="str">
        <f t="shared" si="21"/>
        <v/>
      </c>
      <c r="AP97" s="140"/>
      <c r="AQ97" s="28" t="str">
        <f t="shared" si="22"/>
        <v/>
      </c>
      <c r="AR97" s="140"/>
      <c r="AS97" s="28" t="str">
        <f t="shared" si="23"/>
        <v/>
      </c>
      <c r="AT97" s="140"/>
      <c r="AU97" s="28" t="str">
        <f t="shared" si="24"/>
        <v/>
      </c>
      <c r="AV97" s="140"/>
      <c r="AW97" s="28" t="str">
        <f t="shared" si="25"/>
        <v/>
      </c>
      <c r="AX97" s="111" t="str">
        <f t="shared" si="26"/>
        <v/>
      </c>
      <c r="AY97" s="111" t="str">
        <f t="shared" si="27"/>
        <v/>
      </c>
      <c r="AZ97" s="141"/>
      <c r="BA97" s="153" t="str">
        <f t="shared" si="28"/>
        <v>Débil</v>
      </c>
      <c r="BB97" s="22" t="str">
        <f>IFERROR(VLOOKUP((CONCATENATE(AY97,BA97)),Listados!$U$3:$V$11,2,FALSE),"")</f>
        <v/>
      </c>
      <c r="BC97" s="111">
        <f t="shared" si="29"/>
        <v>100</v>
      </c>
      <c r="BD97" s="716">
        <f>AVERAGE(BC97:BC102)</f>
        <v>100</v>
      </c>
      <c r="BE97" s="718" t="str">
        <f>IF(BD97&lt;=50, "Débil", IF(BD97&lt;=99,"Moderado","Fuerte"))</f>
        <v>Fuerte</v>
      </c>
      <c r="BF97" s="716">
        <f>+IF(BE97="Fuerte",2,IF(BE97="Moderado",1,0))</f>
        <v>2</v>
      </c>
      <c r="BG97" s="716" t="e">
        <f>+AC97-BF97</f>
        <v>#N/A</v>
      </c>
      <c r="BH97" s="712" t="e">
        <f>+VLOOKUP(BG97,Listados!$J$18:$K$24,2,TRUE)</f>
        <v>#N/A</v>
      </c>
      <c r="BI97" s="714" t="str">
        <f>IF(ISBLANK(AD97),"",AD97)</f>
        <v>Moderado</v>
      </c>
      <c r="BJ97" s="712" t="e">
        <f>IF(AND(BH97&lt;&gt;"",BI97&lt;&gt;""),VLOOKUP(BH97&amp;BI97,Listados!$M$3:$N$27,2,FALSE),"")</f>
        <v>#N/A</v>
      </c>
      <c r="BK97" s="712" t="e">
        <f>+VLOOKUP(BJ97,Listados!$P$3:$Q$6,2,FALSE)</f>
        <v>#N/A</v>
      </c>
      <c r="BL97" s="799"/>
      <c r="BM97" s="800"/>
      <c r="BN97" s="801"/>
      <c r="BO97" s="799"/>
      <c r="BP97" s="800"/>
      <c r="BQ97" s="801"/>
      <c r="BR97" s="799"/>
      <c r="BS97" s="800"/>
      <c r="BT97" s="801"/>
    </row>
    <row r="98" spans="1:72" ht="15" thickBot="1">
      <c r="A98" s="724"/>
      <c r="B98" s="777"/>
      <c r="C98" s="730"/>
      <c r="D98" s="736"/>
      <c r="E98" s="161"/>
      <c r="F98" s="150"/>
      <c r="G98" s="736"/>
      <c r="H98" s="764"/>
      <c r="I98" s="764"/>
      <c r="J98" s="764"/>
      <c r="K98" s="764"/>
      <c r="L98" s="764"/>
      <c r="M98" s="764"/>
      <c r="N98" s="764"/>
      <c r="O98" s="764"/>
      <c r="P98" s="764"/>
      <c r="Q98" s="764"/>
      <c r="R98" s="764"/>
      <c r="S98" s="764"/>
      <c r="T98" s="764"/>
      <c r="U98" s="764"/>
      <c r="V98" s="764"/>
      <c r="W98" s="764"/>
      <c r="X98" s="764"/>
      <c r="Y98" s="764"/>
      <c r="Z98" s="727"/>
      <c r="AA98" s="722"/>
      <c r="AB98" s="727"/>
      <c r="AC98" s="720"/>
      <c r="AD98" s="722" t="str">
        <f>+IF(OR(AB98=1,AB98&lt;=5),"Moderado",IF(OR(AB98=6,AB98&lt;=11),"Mayor","Catastrófico"))</f>
        <v>Moderado</v>
      </c>
      <c r="AE98" s="720"/>
      <c r="AF98" s="715"/>
      <c r="AG98" s="52"/>
      <c r="AH98" s="145"/>
      <c r="AI98" s="145"/>
      <c r="AJ98" s="145"/>
      <c r="AK98" s="28" t="str">
        <f t="shared" si="19"/>
        <v/>
      </c>
      <c r="AL98" s="145"/>
      <c r="AM98" s="28" t="str">
        <f t="shared" si="20"/>
        <v/>
      </c>
      <c r="AN98" s="140"/>
      <c r="AO98" s="28" t="str">
        <f t="shared" si="21"/>
        <v/>
      </c>
      <c r="AP98" s="140"/>
      <c r="AQ98" s="28" t="str">
        <f t="shared" si="22"/>
        <v/>
      </c>
      <c r="AR98" s="140"/>
      <c r="AS98" s="28" t="str">
        <f t="shared" si="23"/>
        <v/>
      </c>
      <c r="AT98" s="140"/>
      <c r="AU98" s="28" t="str">
        <f t="shared" si="24"/>
        <v/>
      </c>
      <c r="AV98" s="140"/>
      <c r="AW98" s="28" t="str">
        <f t="shared" si="25"/>
        <v/>
      </c>
      <c r="AX98" s="111" t="str">
        <f t="shared" si="26"/>
        <v/>
      </c>
      <c r="AY98" s="111" t="str">
        <f t="shared" si="27"/>
        <v/>
      </c>
      <c r="AZ98" s="141"/>
      <c r="BA98" s="153" t="str">
        <f t="shared" si="28"/>
        <v>Débil</v>
      </c>
      <c r="BB98" s="22" t="str">
        <f>IFERROR(VLOOKUP((CONCATENATE(AY98,BA98)),Listados!$U$3:$V$11,2,FALSE),"")</f>
        <v/>
      </c>
      <c r="BC98" s="111">
        <f t="shared" si="29"/>
        <v>100</v>
      </c>
      <c r="BD98" s="717"/>
      <c r="BE98" s="761"/>
      <c r="BF98" s="717"/>
      <c r="BG98" s="717"/>
      <c r="BH98" s="713"/>
      <c r="BI98" s="715"/>
      <c r="BJ98" s="713"/>
      <c r="BK98" s="713"/>
      <c r="BL98" s="799"/>
      <c r="BM98" s="800"/>
      <c r="BN98" s="801"/>
      <c r="BO98" s="799"/>
      <c r="BP98" s="800"/>
      <c r="BQ98" s="801"/>
      <c r="BR98" s="799"/>
      <c r="BS98" s="800"/>
      <c r="BT98" s="801"/>
    </row>
    <row r="99" spans="1:72" ht="15" thickBot="1">
      <c r="A99" s="724"/>
      <c r="B99" s="777"/>
      <c r="C99" s="730"/>
      <c r="D99" s="736"/>
      <c r="E99" s="161"/>
      <c r="F99" s="150"/>
      <c r="G99" s="736"/>
      <c r="H99" s="764"/>
      <c r="I99" s="764"/>
      <c r="J99" s="764"/>
      <c r="K99" s="764"/>
      <c r="L99" s="764"/>
      <c r="M99" s="764"/>
      <c r="N99" s="764"/>
      <c r="O99" s="764"/>
      <c r="P99" s="764"/>
      <c r="Q99" s="764"/>
      <c r="R99" s="764"/>
      <c r="S99" s="764"/>
      <c r="T99" s="764"/>
      <c r="U99" s="764"/>
      <c r="V99" s="764"/>
      <c r="W99" s="764"/>
      <c r="X99" s="764"/>
      <c r="Y99" s="764"/>
      <c r="Z99" s="727"/>
      <c r="AA99" s="722"/>
      <c r="AB99" s="727"/>
      <c r="AC99" s="720"/>
      <c r="AD99" s="722" t="str">
        <f>+IF(OR(AB99=1,AB99&lt;=5),"Moderado",IF(OR(AB99=6,AB99&lt;=11),"Mayor","Catastrófico"))</f>
        <v>Moderado</v>
      </c>
      <c r="AE99" s="720"/>
      <c r="AF99" s="715"/>
      <c r="AG99" s="52" t="s">
        <v>467</v>
      </c>
      <c r="AH99" s="145"/>
      <c r="AI99" s="145"/>
      <c r="AJ99" s="145"/>
      <c r="AK99" s="28" t="str">
        <f t="shared" si="19"/>
        <v/>
      </c>
      <c r="AL99" s="145"/>
      <c r="AM99" s="28" t="str">
        <f t="shared" si="20"/>
        <v/>
      </c>
      <c r="AN99" s="140"/>
      <c r="AO99" s="28" t="str">
        <f t="shared" si="21"/>
        <v/>
      </c>
      <c r="AP99" s="140"/>
      <c r="AQ99" s="28" t="str">
        <f t="shared" si="22"/>
        <v/>
      </c>
      <c r="AR99" s="140"/>
      <c r="AS99" s="28" t="str">
        <f t="shared" si="23"/>
        <v/>
      </c>
      <c r="AT99" s="140"/>
      <c r="AU99" s="28" t="str">
        <f t="shared" si="24"/>
        <v/>
      </c>
      <c r="AV99" s="140"/>
      <c r="AW99" s="28" t="str">
        <f t="shared" si="25"/>
        <v/>
      </c>
      <c r="AX99" s="111" t="str">
        <f t="shared" si="26"/>
        <v/>
      </c>
      <c r="AY99" s="111" t="str">
        <f t="shared" si="27"/>
        <v/>
      </c>
      <c r="AZ99" s="141"/>
      <c r="BA99" s="153" t="str">
        <f t="shared" si="28"/>
        <v>Débil</v>
      </c>
      <c r="BB99" s="22" t="str">
        <f>IFERROR(VLOOKUP((CONCATENATE(AY99,BA99)),Listados!$U$3:$V$11,2,FALSE),"")</f>
        <v/>
      </c>
      <c r="BC99" s="111">
        <f t="shared" si="29"/>
        <v>100</v>
      </c>
      <c r="BD99" s="717"/>
      <c r="BE99" s="761"/>
      <c r="BF99" s="717"/>
      <c r="BG99" s="717"/>
      <c r="BH99" s="713"/>
      <c r="BI99" s="715"/>
      <c r="BJ99" s="713"/>
      <c r="BK99" s="713"/>
      <c r="BL99" s="799"/>
      <c r="BM99" s="800"/>
      <c r="BN99" s="801"/>
      <c r="BO99" s="799"/>
      <c r="BP99" s="800"/>
      <c r="BQ99" s="801"/>
      <c r="BR99" s="799"/>
      <c r="BS99" s="800"/>
      <c r="BT99" s="801"/>
    </row>
    <row r="100" spans="1:72" ht="15" thickBot="1">
      <c r="A100" s="724"/>
      <c r="B100" s="777"/>
      <c r="C100" s="730"/>
      <c r="D100" s="736"/>
      <c r="E100" s="755"/>
      <c r="F100" s="769"/>
      <c r="G100" s="736"/>
      <c r="H100" s="764"/>
      <c r="I100" s="764"/>
      <c r="J100" s="764"/>
      <c r="K100" s="764"/>
      <c r="L100" s="764"/>
      <c r="M100" s="764"/>
      <c r="N100" s="764"/>
      <c r="O100" s="764"/>
      <c r="P100" s="764"/>
      <c r="Q100" s="764"/>
      <c r="R100" s="764"/>
      <c r="S100" s="764"/>
      <c r="T100" s="764"/>
      <c r="U100" s="764"/>
      <c r="V100" s="764"/>
      <c r="W100" s="764"/>
      <c r="X100" s="764"/>
      <c r="Y100" s="764"/>
      <c r="Z100" s="727"/>
      <c r="AA100" s="722"/>
      <c r="AB100" s="727"/>
      <c r="AC100" s="720"/>
      <c r="AD100" s="722" t="str">
        <f>+IF(OR(AB100=1,AB100&lt;=5),"Moderado",IF(OR(AB100=6,AB100&lt;=11),"Mayor","Catastrófico"))</f>
        <v>Moderado</v>
      </c>
      <c r="AE100" s="720"/>
      <c r="AF100" s="715"/>
      <c r="AG100" s="52" t="s">
        <v>467</v>
      </c>
      <c r="AH100" s="145"/>
      <c r="AI100" s="145"/>
      <c r="AJ100" s="145"/>
      <c r="AK100" s="28" t="str">
        <f t="shared" si="19"/>
        <v/>
      </c>
      <c r="AL100" s="145"/>
      <c r="AM100" s="28" t="str">
        <f t="shared" si="20"/>
        <v/>
      </c>
      <c r="AN100" s="140"/>
      <c r="AO100" s="28" t="str">
        <f t="shared" si="21"/>
        <v/>
      </c>
      <c r="AP100" s="140"/>
      <c r="AQ100" s="28" t="str">
        <f t="shared" si="22"/>
        <v/>
      </c>
      <c r="AR100" s="140"/>
      <c r="AS100" s="28" t="str">
        <f t="shared" si="23"/>
        <v/>
      </c>
      <c r="AT100" s="140"/>
      <c r="AU100" s="28" t="str">
        <f t="shared" si="24"/>
        <v/>
      </c>
      <c r="AV100" s="140"/>
      <c r="AW100" s="28" t="str">
        <f t="shared" si="25"/>
        <v/>
      </c>
      <c r="AX100" s="111" t="str">
        <f t="shared" si="26"/>
        <v/>
      </c>
      <c r="AY100" s="111" t="str">
        <f t="shared" si="27"/>
        <v/>
      </c>
      <c r="AZ100" s="141"/>
      <c r="BA100" s="153" t="str">
        <f t="shared" si="28"/>
        <v>Débil</v>
      </c>
      <c r="BB100" s="22" t="str">
        <f>IFERROR(VLOOKUP((CONCATENATE(AY100,BA100)),Listados!$U$3:$V$11,2,FALSE),"")</f>
        <v/>
      </c>
      <c r="BC100" s="111">
        <f t="shared" si="29"/>
        <v>100</v>
      </c>
      <c r="BD100" s="717"/>
      <c r="BE100" s="761"/>
      <c r="BF100" s="717"/>
      <c r="BG100" s="717"/>
      <c r="BH100" s="713"/>
      <c r="BI100" s="715"/>
      <c r="BJ100" s="713"/>
      <c r="BK100" s="713"/>
      <c r="BL100" s="799"/>
      <c r="BM100" s="800"/>
      <c r="BN100" s="801"/>
      <c r="BO100" s="799"/>
      <c r="BP100" s="800"/>
      <c r="BQ100" s="801"/>
      <c r="BR100" s="799"/>
      <c r="BS100" s="800"/>
      <c r="BT100" s="801"/>
    </row>
    <row r="101" spans="1:72" ht="15" thickBot="1">
      <c r="A101" s="724"/>
      <c r="B101" s="777"/>
      <c r="C101" s="730"/>
      <c r="D101" s="736"/>
      <c r="E101" s="756"/>
      <c r="F101" s="770"/>
      <c r="G101" s="736"/>
      <c r="H101" s="764"/>
      <c r="I101" s="764"/>
      <c r="J101" s="764"/>
      <c r="K101" s="764"/>
      <c r="L101" s="764"/>
      <c r="M101" s="764"/>
      <c r="N101" s="764"/>
      <c r="O101" s="764"/>
      <c r="P101" s="764"/>
      <c r="Q101" s="764"/>
      <c r="R101" s="764"/>
      <c r="S101" s="764"/>
      <c r="T101" s="764"/>
      <c r="U101" s="764"/>
      <c r="V101" s="764"/>
      <c r="W101" s="764"/>
      <c r="X101" s="764"/>
      <c r="Y101" s="764"/>
      <c r="Z101" s="727"/>
      <c r="AA101" s="722"/>
      <c r="AB101" s="727"/>
      <c r="AC101" s="720"/>
      <c r="AD101" s="722" t="str">
        <f>+IF(OR(AB101=1,AB101&lt;=5),"Moderado",IF(OR(AB101=6,AB101&lt;=11),"Mayor","Catastrófico"))</f>
        <v>Moderado</v>
      </c>
      <c r="AE101" s="720"/>
      <c r="AF101" s="715"/>
      <c r="AG101" s="52" t="s">
        <v>467</v>
      </c>
      <c r="AH101" s="145"/>
      <c r="AI101" s="145"/>
      <c r="AJ101" s="145"/>
      <c r="AK101" s="28" t="str">
        <f t="shared" si="19"/>
        <v/>
      </c>
      <c r="AL101" s="145"/>
      <c r="AM101" s="28" t="str">
        <f t="shared" si="20"/>
        <v/>
      </c>
      <c r="AN101" s="140"/>
      <c r="AO101" s="28" t="str">
        <f t="shared" si="21"/>
        <v/>
      </c>
      <c r="AP101" s="140"/>
      <c r="AQ101" s="28" t="str">
        <f t="shared" si="22"/>
        <v/>
      </c>
      <c r="AR101" s="140"/>
      <c r="AS101" s="28" t="str">
        <f t="shared" si="23"/>
        <v/>
      </c>
      <c r="AT101" s="140"/>
      <c r="AU101" s="28" t="str">
        <f t="shared" si="24"/>
        <v/>
      </c>
      <c r="AV101" s="140"/>
      <c r="AW101" s="28" t="str">
        <f t="shared" si="25"/>
        <v/>
      </c>
      <c r="AX101" s="111" t="str">
        <f t="shared" si="26"/>
        <v/>
      </c>
      <c r="AY101" s="111" t="str">
        <f t="shared" si="27"/>
        <v/>
      </c>
      <c r="AZ101" s="141"/>
      <c r="BA101" s="153" t="str">
        <f t="shared" si="28"/>
        <v>Débil</v>
      </c>
      <c r="BB101" s="22" t="str">
        <f>IFERROR(VLOOKUP((CONCATENATE(AY101,BA101)),Listados!$U$3:$V$11,2,FALSE),"")</f>
        <v/>
      </c>
      <c r="BC101" s="111">
        <f t="shared" si="29"/>
        <v>100</v>
      </c>
      <c r="BD101" s="717"/>
      <c r="BE101" s="761"/>
      <c r="BF101" s="717"/>
      <c r="BG101" s="717"/>
      <c r="BH101" s="713"/>
      <c r="BI101" s="715"/>
      <c r="BJ101" s="713"/>
      <c r="BK101" s="713"/>
      <c r="BL101" s="799"/>
      <c r="BM101" s="800"/>
      <c r="BN101" s="801"/>
      <c r="BO101" s="799"/>
      <c r="BP101" s="800"/>
      <c r="BQ101" s="801"/>
      <c r="BR101" s="799"/>
      <c r="BS101" s="800"/>
      <c r="BT101" s="801"/>
    </row>
    <row r="102" spans="1:72" ht="15" thickBot="1">
      <c r="A102" s="725"/>
      <c r="B102" s="777"/>
      <c r="C102" s="731"/>
      <c r="D102" s="781"/>
      <c r="E102" s="757"/>
      <c r="F102" s="771"/>
      <c r="G102" s="736"/>
      <c r="H102" s="764"/>
      <c r="I102" s="764"/>
      <c r="J102" s="764"/>
      <c r="K102" s="764"/>
      <c r="L102" s="764"/>
      <c r="M102" s="764"/>
      <c r="N102" s="764"/>
      <c r="O102" s="764"/>
      <c r="P102" s="764"/>
      <c r="Q102" s="764"/>
      <c r="R102" s="764"/>
      <c r="S102" s="764"/>
      <c r="T102" s="764"/>
      <c r="U102" s="764"/>
      <c r="V102" s="764"/>
      <c r="W102" s="764"/>
      <c r="X102" s="764"/>
      <c r="Y102" s="764"/>
      <c r="Z102" s="727"/>
      <c r="AA102" s="722"/>
      <c r="AB102" s="727"/>
      <c r="AC102" s="721"/>
      <c r="AD102" s="722" t="str">
        <f>+IF(OR(AB102=1,AB102&lt;=5),"Moderado",IF(OR(AB102=6,AB102&lt;=11),"Mayor","Catastrófico"))</f>
        <v>Moderado</v>
      </c>
      <c r="AE102" s="721"/>
      <c r="AF102" s="715"/>
      <c r="AG102" s="52" t="s">
        <v>467</v>
      </c>
      <c r="AH102" s="145"/>
      <c r="AI102" s="145"/>
      <c r="AJ102" s="145"/>
      <c r="AK102" s="28" t="str">
        <f t="shared" si="19"/>
        <v/>
      </c>
      <c r="AL102" s="145"/>
      <c r="AM102" s="28" t="str">
        <f t="shared" si="20"/>
        <v/>
      </c>
      <c r="AN102" s="140"/>
      <c r="AO102" s="28" t="str">
        <f t="shared" si="21"/>
        <v/>
      </c>
      <c r="AP102" s="140"/>
      <c r="AQ102" s="28" t="str">
        <f t="shared" si="22"/>
        <v/>
      </c>
      <c r="AR102" s="140"/>
      <c r="AS102" s="28" t="str">
        <f t="shared" si="23"/>
        <v/>
      </c>
      <c r="AT102" s="140"/>
      <c r="AU102" s="28" t="str">
        <f t="shared" si="24"/>
        <v/>
      </c>
      <c r="AV102" s="140"/>
      <c r="AW102" s="28" t="str">
        <f t="shared" si="25"/>
        <v/>
      </c>
      <c r="AX102" s="111" t="str">
        <f t="shared" si="26"/>
        <v/>
      </c>
      <c r="AY102" s="111" t="str">
        <f t="shared" si="27"/>
        <v/>
      </c>
      <c r="AZ102" s="141"/>
      <c r="BA102" s="153" t="str">
        <f t="shared" si="28"/>
        <v>Débil</v>
      </c>
      <c r="BB102" s="22" t="str">
        <f>IFERROR(VLOOKUP((CONCATENATE(AY102,BA102)),Listados!$U$3:$V$11,2,FALSE),"")</f>
        <v/>
      </c>
      <c r="BC102" s="111">
        <f t="shared" si="29"/>
        <v>100</v>
      </c>
      <c r="BD102" s="718"/>
      <c r="BE102" s="761"/>
      <c r="BF102" s="718"/>
      <c r="BG102" s="718"/>
      <c r="BH102" s="714"/>
      <c r="BI102" s="715"/>
      <c r="BJ102" s="714"/>
      <c r="BK102" s="714"/>
      <c r="BL102" s="799"/>
      <c r="BM102" s="800"/>
      <c r="BN102" s="801"/>
      <c r="BO102" s="799"/>
      <c r="BP102" s="800"/>
      <c r="BQ102" s="801"/>
      <c r="BR102" s="799"/>
      <c r="BS102" s="800"/>
      <c r="BT102" s="801"/>
    </row>
    <row r="103" spans="1:72" ht="15" thickBot="1">
      <c r="A103" s="723">
        <v>17</v>
      </c>
      <c r="B103" s="776"/>
      <c r="C103" s="729" t="str">
        <f>IFERROR(VLOOKUP(B103,Listados!B$3:C$20,2,FALSE),"")</f>
        <v/>
      </c>
      <c r="D103" s="735" t="s">
        <v>584</v>
      </c>
      <c r="E103" s="105"/>
      <c r="F103" s="18"/>
      <c r="G103" s="735"/>
      <c r="H103" s="763"/>
      <c r="I103" s="763"/>
      <c r="J103" s="763"/>
      <c r="K103" s="763"/>
      <c r="L103" s="763"/>
      <c r="M103" s="763"/>
      <c r="N103" s="763"/>
      <c r="O103" s="763"/>
      <c r="P103" s="763"/>
      <c r="Q103" s="763"/>
      <c r="R103" s="763"/>
      <c r="S103" s="763"/>
      <c r="T103" s="763"/>
      <c r="U103" s="763"/>
      <c r="V103" s="763"/>
      <c r="W103" s="763"/>
      <c r="X103" s="763"/>
      <c r="Y103" s="763"/>
      <c r="Z103" s="762"/>
      <c r="AA103" s="721">
        <f>COUNTIF(H103:Z108, "SI")</f>
        <v>0</v>
      </c>
      <c r="AB103" s="762"/>
      <c r="AC103" s="719" t="e">
        <f>+VLOOKUP(AB103,Listados!$K$8:$L$12,2,0)</f>
        <v>#N/A</v>
      </c>
      <c r="AD103" s="721" t="str">
        <f>+IF(OR(AA103=1,AA103&lt;=5),"Moderado",IF(OR(AA103=6,AA103&lt;=11),"Mayor","Catastrófico"))</f>
        <v>Moderado</v>
      </c>
      <c r="AE103" s="719" t="e">
        <f>+VLOOKUP(AD103,Listados!K109:L113,2,0)</f>
        <v>#N/A</v>
      </c>
      <c r="AF103" s="714" t="str">
        <f>IF(AND(AB103&lt;&gt;"",AD103&lt;&gt;""),VLOOKUP(AB103&amp;AD103,Listados!$M$3:$N$27,2,FALSE),"")</f>
        <v/>
      </c>
      <c r="AG103" s="52" t="s">
        <v>467</v>
      </c>
      <c r="AH103" s="145"/>
      <c r="AI103" s="145"/>
      <c r="AJ103" s="145"/>
      <c r="AK103" s="28" t="str">
        <f t="shared" si="19"/>
        <v/>
      </c>
      <c r="AL103" s="145"/>
      <c r="AM103" s="28" t="str">
        <f t="shared" si="20"/>
        <v/>
      </c>
      <c r="AN103" s="140"/>
      <c r="AO103" s="28" t="str">
        <f t="shared" si="21"/>
        <v/>
      </c>
      <c r="AP103" s="140"/>
      <c r="AQ103" s="28" t="str">
        <f t="shared" si="22"/>
        <v/>
      </c>
      <c r="AR103" s="140"/>
      <c r="AS103" s="28" t="str">
        <f t="shared" si="23"/>
        <v/>
      </c>
      <c r="AT103" s="140"/>
      <c r="AU103" s="28" t="str">
        <f t="shared" si="24"/>
        <v/>
      </c>
      <c r="AV103" s="140"/>
      <c r="AW103" s="28" t="str">
        <f t="shared" si="25"/>
        <v/>
      </c>
      <c r="AX103" s="111" t="str">
        <f t="shared" si="26"/>
        <v/>
      </c>
      <c r="AY103" s="111" t="str">
        <f t="shared" si="27"/>
        <v/>
      </c>
      <c r="AZ103" s="141"/>
      <c r="BA103" s="153" t="str">
        <f t="shared" si="28"/>
        <v>Débil</v>
      </c>
      <c r="BB103" s="22" t="str">
        <f>IFERROR(VLOOKUP((CONCATENATE(AY103,BA103)),Listados!$U$3:$V$11,2,FALSE),"")</f>
        <v/>
      </c>
      <c r="BC103" s="111">
        <f t="shared" si="29"/>
        <v>100</v>
      </c>
      <c r="BD103" s="716">
        <f>AVERAGE(BC103:BC108)</f>
        <v>100</v>
      </c>
      <c r="BE103" s="718" t="str">
        <f>IF(BD103&lt;=50, "Débil", IF(BD103&lt;=99,"Moderado","Fuerte"))</f>
        <v>Fuerte</v>
      </c>
      <c r="BF103" s="716">
        <f>+IF(BE103="Fuerte",2,IF(BE103="Moderado",1,0))</f>
        <v>2</v>
      </c>
      <c r="BG103" s="716" t="e">
        <f>+AC103-BF103</f>
        <v>#N/A</v>
      </c>
      <c r="BH103" s="712" t="e">
        <f>+VLOOKUP(BG103,Listados!$J$18:$K$24,2,TRUE)</f>
        <v>#N/A</v>
      </c>
      <c r="BI103" s="714" t="str">
        <f>IF(ISBLANK(AD103),"",AD103)</f>
        <v>Moderado</v>
      </c>
      <c r="BJ103" s="712" t="e">
        <f>IF(AND(BH103&lt;&gt;"",BI103&lt;&gt;""),VLOOKUP(BH103&amp;BI103,Listados!$M$3:$N$27,2,FALSE),"")</f>
        <v>#N/A</v>
      </c>
      <c r="BK103" s="712" t="e">
        <f>+VLOOKUP(BJ103,Listados!$P$3:$Q$6,2,FALSE)</f>
        <v>#N/A</v>
      </c>
      <c r="BL103" s="799"/>
      <c r="BM103" s="800"/>
      <c r="BN103" s="801"/>
      <c r="BO103" s="799"/>
      <c r="BP103" s="800"/>
      <c r="BQ103" s="801"/>
      <c r="BR103" s="799"/>
      <c r="BS103" s="800"/>
      <c r="BT103" s="801"/>
    </row>
    <row r="104" spans="1:72" ht="15" thickBot="1">
      <c r="A104" s="724"/>
      <c r="B104" s="777"/>
      <c r="C104" s="730"/>
      <c r="D104" s="736"/>
      <c r="E104" s="161"/>
      <c r="F104" s="150"/>
      <c r="G104" s="736"/>
      <c r="H104" s="764"/>
      <c r="I104" s="764"/>
      <c r="J104" s="764"/>
      <c r="K104" s="764"/>
      <c r="L104" s="764"/>
      <c r="M104" s="764"/>
      <c r="N104" s="764"/>
      <c r="O104" s="764"/>
      <c r="P104" s="764"/>
      <c r="Q104" s="764"/>
      <c r="R104" s="764"/>
      <c r="S104" s="764"/>
      <c r="T104" s="764"/>
      <c r="U104" s="764"/>
      <c r="V104" s="764"/>
      <c r="W104" s="764"/>
      <c r="X104" s="764"/>
      <c r="Y104" s="764"/>
      <c r="Z104" s="727"/>
      <c r="AA104" s="722"/>
      <c r="AB104" s="727"/>
      <c r="AC104" s="720"/>
      <c r="AD104" s="722" t="str">
        <f>+IF(OR(AB104=1,AB104&lt;=5),"Moderado",IF(OR(AB104=6,AB104&lt;=11),"Mayor","Catastrófico"))</f>
        <v>Moderado</v>
      </c>
      <c r="AE104" s="720"/>
      <c r="AF104" s="715"/>
      <c r="AG104" s="52" t="s">
        <v>467</v>
      </c>
      <c r="AH104" s="145"/>
      <c r="AI104" s="145"/>
      <c r="AJ104" s="145"/>
      <c r="AK104" s="28" t="str">
        <f t="shared" si="19"/>
        <v/>
      </c>
      <c r="AL104" s="145"/>
      <c r="AM104" s="28" t="str">
        <f t="shared" si="20"/>
        <v/>
      </c>
      <c r="AN104" s="140"/>
      <c r="AO104" s="28" t="str">
        <f t="shared" si="21"/>
        <v/>
      </c>
      <c r="AP104" s="140"/>
      <c r="AQ104" s="28" t="str">
        <f t="shared" si="22"/>
        <v/>
      </c>
      <c r="AR104" s="140"/>
      <c r="AS104" s="28" t="str">
        <f t="shared" si="23"/>
        <v/>
      </c>
      <c r="AT104" s="140"/>
      <c r="AU104" s="28" t="str">
        <f t="shared" si="24"/>
        <v/>
      </c>
      <c r="AV104" s="140"/>
      <c r="AW104" s="28" t="str">
        <f t="shared" si="25"/>
        <v/>
      </c>
      <c r="AX104" s="111" t="str">
        <f t="shared" si="26"/>
        <v/>
      </c>
      <c r="AY104" s="111" t="str">
        <f t="shared" si="27"/>
        <v/>
      </c>
      <c r="AZ104" s="141"/>
      <c r="BA104" s="153" t="str">
        <f t="shared" si="28"/>
        <v>Débil</v>
      </c>
      <c r="BB104" s="22" t="str">
        <f>IFERROR(VLOOKUP((CONCATENATE(AY104,BA104)),Listados!$U$3:$V$11,2,FALSE),"")</f>
        <v/>
      </c>
      <c r="BC104" s="111">
        <f t="shared" si="29"/>
        <v>100</v>
      </c>
      <c r="BD104" s="717"/>
      <c r="BE104" s="761"/>
      <c r="BF104" s="717"/>
      <c r="BG104" s="717"/>
      <c r="BH104" s="713"/>
      <c r="BI104" s="715"/>
      <c r="BJ104" s="713"/>
      <c r="BK104" s="713"/>
      <c r="BL104" s="799"/>
      <c r="BM104" s="800"/>
      <c r="BN104" s="801"/>
      <c r="BO104" s="799"/>
      <c r="BP104" s="800"/>
      <c r="BQ104" s="801"/>
      <c r="BR104" s="799"/>
      <c r="BS104" s="800"/>
      <c r="BT104" s="801"/>
    </row>
    <row r="105" spans="1:72" ht="15" thickBot="1">
      <c r="A105" s="724"/>
      <c r="B105" s="777"/>
      <c r="C105" s="730"/>
      <c r="D105" s="736"/>
      <c r="E105" s="161"/>
      <c r="F105" s="150"/>
      <c r="G105" s="736"/>
      <c r="H105" s="764"/>
      <c r="I105" s="764"/>
      <c r="J105" s="764"/>
      <c r="K105" s="764"/>
      <c r="L105" s="764"/>
      <c r="M105" s="764"/>
      <c r="N105" s="764"/>
      <c r="O105" s="764"/>
      <c r="P105" s="764"/>
      <c r="Q105" s="764"/>
      <c r="R105" s="764"/>
      <c r="S105" s="764"/>
      <c r="T105" s="764"/>
      <c r="U105" s="764"/>
      <c r="V105" s="764"/>
      <c r="W105" s="764"/>
      <c r="X105" s="764"/>
      <c r="Y105" s="764"/>
      <c r="Z105" s="727"/>
      <c r="AA105" s="722"/>
      <c r="AB105" s="727"/>
      <c r="AC105" s="720"/>
      <c r="AD105" s="722" t="str">
        <f>+IF(OR(AB105=1,AB105&lt;=5),"Moderado",IF(OR(AB105=6,AB105&lt;=11),"Mayor","Catastrófico"))</f>
        <v>Moderado</v>
      </c>
      <c r="AE105" s="720"/>
      <c r="AF105" s="715"/>
      <c r="AG105" s="52" t="s">
        <v>467</v>
      </c>
      <c r="AH105" s="145"/>
      <c r="AI105" s="145"/>
      <c r="AJ105" s="145"/>
      <c r="AK105" s="28" t="str">
        <f t="shared" si="19"/>
        <v/>
      </c>
      <c r="AL105" s="145"/>
      <c r="AM105" s="28" t="str">
        <f t="shared" si="20"/>
        <v/>
      </c>
      <c r="AN105" s="140"/>
      <c r="AO105" s="28" t="str">
        <f t="shared" si="21"/>
        <v/>
      </c>
      <c r="AP105" s="140"/>
      <c r="AQ105" s="28" t="str">
        <f t="shared" si="22"/>
        <v/>
      </c>
      <c r="AR105" s="140"/>
      <c r="AS105" s="28" t="str">
        <f t="shared" si="23"/>
        <v/>
      </c>
      <c r="AT105" s="140"/>
      <c r="AU105" s="28" t="str">
        <f t="shared" si="24"/>
        <v/>
      </c>
      <c r="AV105" s="140"/>
      <c r="AW105" s="28" t="str">
        <f t="shared" si="25"/>
        <v/>
      </c>
      <c r="AX105" s="111" t="str">
        <f t="shared" si="26"/>
        <v/>
      </c>
      <c r="AY105" s="111" t="str">
        <f t="shared" si="27"/>
        <v/>
      </c>
      <c r="AZ105" s="141"/>
      <c r="BA105" s="153" t="str">
        <f t="shared" si="28"/>
        <v>Débil</v>
      </c>
      <c r="BB105" s="22" t="str">
        <f>IFERROR(VLOOKUP((CONCATENATE(AY105,BA105)),Listados!$U$3:$V$11,2,FALSE),"")</f>
        <v/>
      </c>
      <c r="BC105" s="111">
        <f t="shared" si="29"/>
        <v>100</v>
      </c>
      <c r="BD105" s="717"/>
      <c r="BE105" s="761"/>
      <c r="BF105" s="717"/>
      <c r="BG105" s="717"/>
      <c r="BH105" s="713"/>
      <c r="BI105" s="715"/>
      <c r="BJ105" s="713"/>
      <c r="BK105" s="713"/>
      <c r="BL105" s="799"/>
      <c r="BM105" s="800"/>
      <c r="BN105" s="801"/>
      <c r="BO105" s="799"/>
      <c r="BP105" s="800"/>
      <c r="BQ105" s="801"/>
      <c r="BR105" s="799"/>
      <c r="BS105" s="800"/>
      <c r="BT105" s="801"/>
    </row>
    <row r="106" spans="1:72" ht="15" thickBot="1">
      <c r="A106" s="724"/>
      <c r="B106" s="777"/>
      <c r="C106" s="730"/>
      <c r="D106" s="736"/>
      <c r="E106" s="755"/>
      <c r="F106" s="769"/>
      <c r="G106" s="736"/>
      <c r="H106" s="764"/>
      <c r="I106" s="764"/>
      <c r="J106" s="764"/>
      <c r="K106" s="764"/>
      <c r="L106" s="764"/>
      <c r="M106" s="764"/>
      <c r="N106" s="764"/>
      <c r="O106" s="764"/>
      <c r="P106" s="764"/>
      <c r="Q106" s="764"/>
      <c r="R106" s="764"/>
      <c r="S106" s="764"/>
      <c r="T106" s="764"/>
      <c r="U106" s="764"/>
      <c r="V106" s="764"/>
      <c r="W106" s="764"/>
      <c r="X106" s="764"/>
      <c r="Y106" s="764"/>
      <c r="Z106" s="727"/>
      <c r="AA106" s="722"/>
      <c r="AB106" s="727"/>
      <c r="AC106" s="720"/>
      <c r="AD106" s="722" t="str">
        <f>+IF(OR(AB106=1,AB106&lt;=5),"Moderado",IF(OR(AB106=6,AB106&lt;=11),"Mayor","Catastrófico"))</f>
        <v>Moderado</v>
      </c>
      <c r="AE106" s="720"/>
      <c r="AF106" s="715"/>
      <c r="AG106" s="52" t="s">
        <v>467</v>
      </c>
      <c r="AH106" s="145"/>
      <c r="AI106" s="145"/>
      <c r="AJ106" s="145"/>
      <c r="AK106" s="28" t="str">
        <f t="shared" si="19"/>
        <v/>
      </c>
      <c r="AL106" s="145"/>
      <c r="AM106" s="28" t="str">
        <f t="shared" si="20"/>
        <v/>
      </c>
      <c r="AN106" s="140"/>
      <c r="AO106" s="28" t="str">
        <f t="shared" si="21"/>
        <v/>
      </c>
      <c r="AP106" s="140"/>
      <c r="AQ106" s="28" t="str">
        <f t="shared" si="22"/>
        <v/>
      </c>
      <c r="AR106" s="140"/>
      <c r="AS106" s="28" t="str">
        <f t="shared" si="23"/>
        <v/>
      </c>
      <c r="AT106" s="140"/>
      <c r="AU106" s="28" t="str">
        <f t="shared" si="24"/>
        <v/>
      </c>
      <c r="AV106" s="140"/>
      <c r="AW106" s="28" t="str">
        <f t="shared" si="25"/>
        <v/>
      </c>
      <c r="AX106" s="111" t="str">
        <f t="shared" si="26"/>
        <v/>
      </c>
      <c r="AY106" s="111" t="str">
        <f t="shared" si="27"/>
        <v/>
      </c>
      <c r="AZ106" s="141"/>
      <c r="BA106" s="153" t="str">
        <f t="shared" si="28"/>
        <v>Débil</v>
      </c>
      <c r="BB106" s="22" t="str">
        <f>IFERROR(VLOOKUP((CONCATENATE(AY106,BA106)),Listados!$U$3:$V$11,2,FALSE),"")</f>
        <v/>
      </c>
      <c r="BC106" s="111">
        <f t="shared" si="29"/>
        <v>100</v>
      </c>
      <c r="BD106" s="717"/>
      <c r="BE106" s="761"/>
      <c r="BF106" s="717"/>
      <c r="BG106" s="717"/>
      <c r="BH106" s="713"/>
      <c r="BI106" s="715"/>
      <c r="BJ106" s="713"/>
      <c r="BK106" s="713"/>
      <c r="BL106" s="799"/>
      <c r="BM106" s="800"/>
      <c r="BN106" s="801"/>
      <c r="BO106" s="799"/>
      <c r="BP106" s="800"/>
      <c r="BQ106" s="801"/>
      <c r="BR106" s="799"/>
      <c r="BS106" s="800"/>
      <c r="BT106" s="801"/>
    </row>
    <row r="107" spans="1:72" ht="15" thickBot="1">
      <c r="A107" s="724"/>
      <c r="B107" s="777"/>
      <c r="C107" s="730"/>
      <c r="D107" s="736"/>
      <c r="E107" s="756"/>
      <c r="F107" s="770"/>
      <c r="G107" s="736"/>
      <c r="H107" s="764"/>
      <c r="I107" s="764"/>
      <c r="J107" s="764"/>
      <c r="K107" s="764"/>
      <c r="L107" s="764"/>
      <c r="M107" s="764"/>
      <c r="N107" s="764"/>
      <c r="O107" s="764"/>
      <c r="P107" s="764"/>
      <c r="Q107" s="764"/>
      <c r="R107" s="764"/>
      <c r="S107" s="764"/>
      <c r="T107" s="764"/>
      <c r="U107" s="764"/>
      <c r="V107" s="764"/>
      <c r="W107" s="764"/>
      <c r="X107" s="764"/>
      <c r="Y107" s="764"/>
      <c r="Z107" s="727"/>
      <c r="AA107" s="722"/>
      <c r="AB107" s="727"/>
      <c r="AC107" s="720"/>
      <c r="AD107" s="722" t="str">
        <f>+IF(OR(AB107=1,AB107&lt;=5),"Moderado",IF(OR(AB107=6,AB107&lt;=11),"Mayor","Catastrófico"))</f>
        <v>Moderado</v>
      </c>
      <c r="AE107" s="720"/>
      <c r="AF107" s="715"/>
      <c r="AG107" s="52" t="s">
        <v>467</v>
      </c>
      <c r="AH107" s="145"/>
      <c r="AI107" s="145"/>
      <c r="AJ107" s="145"/>
      <c r="AK107" s="28" t="str">
        <f t="shared" si="19"/>
        <v/>
      </c>
      <c r="AL107" s="145"/>
      <c r="AM107" s="28" t="str">
        <f t="shared" si="20"/>
        <v/>
      </c>
      <c r="AN107" s="140"/>
      <c r="AO107" s="28" t="str">
        <f t="shared" si="21"/>
        <v/>
      </c>
      <c r="AP107" s="140"/>
      <c r="AQ107" s="28" t="str">
        <f t="shared" si="22"/>
        <v/>
      </c>
      <c r="AR107" s="140"/>
      <c r="AS107" s="28" t="str">
        <f t="shared" si="23"/>
        <v/>
      </c>
      <c r="AT107" s="140"/>
      <c r="AU107" s="28" t="str">
        <f t="shared" si="24"/>
        <v/>
      </c>
      <c r="AV107" s="140"/>
      <c r="AW107" s="28" t="str">
        <f t="shared" si="25"/>
        <v/>
      </c>
      <c r="AX107" s="111" t="str">
        <f t="shared" si="26"/>
        <v/>
      </c>
      <c r="AY107" s="111" t="str">
        <f t="shared" si="27"/>
        <v/>
      </c>
      <c r="AZ107" s="141"/>
      <c r="BA107" s="153" t="str">
        <f t="shared" si="28"/>
        <v>Débil</v>
      </c>
      <c r="BB107" s="22" t="str">
        <f>IFERROR(VLOOKUP((CONCATENATE(AY107,BA107)),Listados!$U$3:$V$11,2,FALSE),"")</f>
        <v/>
      </c>
      <c r="BC107" s="111">
        <f t="shared" si="29"/>
        <v>100</v>
      </c>
      <c r="BD107" s="717"/>
      <c r="BE107" s="761"/>
      <c r="BF107" s="717"/>
      <c r="BG107" s="717"/>
      <c r="BH107" s="713"/>
      <c r="BI107" s="715"/>
      <c r="BJ107" s="713"/>
      <c r="BK107" s="713"/>
      <c r="BL107" s="799"/>
      <c r="BM107" s="800"/>
      <c r="BN107" s="801"/>
      <c r="BO107" s="799"/>
      <c r="BP107" s="800"/>
      <c r="BQ107" s="801"/>
      <c r="BR107" s="799"/>
      <c r="BS107" s="800"/>
      <c r="BT107" s="801"/>
    </row>
    <row r="108" spans="1:72" ht="15" thickBot="1">
      <c r="A108" s="725"/>
      <c r="B108" s="777"/>
      <c r="C108" s="731"/>
      <c r="D108" s="781"/>
      <c r="E108" s="757"/>
      <c r="F108" s="771"/>
      <c r="G108" s="736"/>
      <c r="H108" s="764"/>
      <c r="I108" s="764"/>
      <c r="J108" s="764"/>
      <c r="K108" s="764"/>
      <c r="L108" s="764"/>
      <c r="M108" s="764"/>
      <c r="N108" s="764"/>
      <c r="O108" s="764"/>
      <c r="P108" s="764"/>
      <c r="Q108" s="764"/>
      <c r="R108" s="764"/>
      <c r="S108" s="764"/>
      <c r="T108" s="764"/>
      <c r="U108" s="764"/>
      <c r="V108" s="764"/>
      <c r="W108" s="764"/>
      <c r="X108" s="764"/>
      <c r="Y108" s="764"/>
      <c r="Z108" s="727"/>
      <c r="AA108" s="722"/>
      <c r="AB108" s="727"/>
      <c r="AC108" s="721"/>
      <c r="AD108" s="722" t="str">
        <f>+IF(OR(AB108=1,AB108&lt;=5),"Moderado",IF(OR(AB108=6,AB108&lt;=11),"Mayor","Catastrófico"))</f>
        <v>Moderado</v>
      </c>
      <c r="AE108" s="721"/>
      <c r="AF108" s="715"/>
      <c r="AG108" s="52" t="s">
        <v>467</v>
      </c>
      <c r="AH108" s="145"/>
      <c r="AI108" s="145"/>
      <c r="AJ108" s="145"/>
      <c r="AK108" s="28" t="str">
        <f t="shared" si="19"/>
        <v/>
      </c>
      <c r="AL108" s="145"/>
      <c r="AM108" s="28" t="str">
        <f t="shared" si="20"/>
        <v/>
      </c>
      <c r="AN108" s="140"/>
      <c r="AO108" s="28" t="str">
        <f t="shared" si="21"/>
        <v/>
      </c>
      <c r="AP108" s="140"/>
      <c r="AQ108" s="28" t="str">
        <f t="shared" si="22"/>
        <v/>
      </c>
      <c r="AR108" s="140"/>
      <c r="AS108" s="28" t="str">
        <f t="shared" si="23"/>
        <v/>
      </c>
      <c r="AT108" s="140"/>
      <c r="AU108" s="28" t="str">
        <f t="shared" si="24"/>
        <v/>
      </c>
      <c r="AV108" s="140"/>
      <c r="AW108" s="28" t="str">
        <f t="shared" si="25"/>
        <v/>
      </c>
      <c r="AX108" s="111" t="str">
        <f t="shared" si="26"/>
        <v/>
      </c>
      <c r="AY108" s="111" t="str">
        <f t="shared" si="27"/>
        <v/>
      </c>
      <c r="AZ108" s="141"/>
      <c r="BA108" s="153" t="str">
        <f t="shared" si="28"/>
        <v>Débil</v>
      </c>
      <c r="BB108" s="22" t="str">
        <f>IFERROR(VLOOKUP((CONCATENATE(AY108,BA108)),Listados!$U$3:$V$11,2,FALSE),"")</f>
        <v/>
      </c>
      <c r="BC108" s="111">
        <f t="shared" si="29"/>
        <v>100</v>
      </c>
      <c r="BD108" s="718"/>
      <c r="BE108" s="761"/>
      <c r="BF108" s="718"/>
      <c r="BG108" s="718"/>
      <c r="BH108" s="714"/>
      <c r="BI108" s="715"/>
      <c r="BJ108" s="714"/>
      <c r="BK108" s="714"/>
      <c r="BL108" s="799"/>
      <c r="BM108" s="800"/>
      <c r="BN108" s="801"/>
      <c r="BO108" s="799"/>
      <c r="BP108" s="800"/>
      <c r="BQ108" s="801"/>
      <c r="BR108" s="799"/>
      <c r="BS108" s="800"/>
      <c r="BT108" s="801"/>
    </row>
    <row r="109" spans="1:72" ht="15" thickBot="1">
      <c r="A109" s="723">
        <v>18</v>
      </c>
      <c r="B109" s="776"/>
      <c r="C109" s="729" t="str">
        <f>IFERROR(VLOOKUP(B109,Listados!B$3:C$20,2,FALSE),"")</f>
        <v/>
      </c>
      <c r="D109" s="735" t="s">
        <v>584</v>
      </c>
      <c r="E109" s="105"/>
      <c r="F109" s="18"/>
      <c r="G109" s="735"/>
      <c r="H109" s="763"/>
      <c r="I109" s="763"/>
      <c r="J109" s="763"/>
      <c r="K109" s="763"/>
      <c r="L109" s="763"/>
      <c r="M109" s="763"/>
      <c r="N109" s="763"/>
      <c r="O109" s="763"/>
      <c r="P109" s="763"/>
      <c r="Q109" s="763"/>
      <c r="R109" s="763"/>
      <c r="S109" s="763"/>
      <c r="T109" s="763"/>
      <c r="U109" s="763"/>
      <c r="V109" s="763"/>
      <c r="W109" s="763"/>
      <c r="X109" s="763"/>
      <c r="Y109" s="763"/>
      <c r="Z109" s="762"/>
      <c r="AA109" s="721">
        <f>COUNTIF(H109:Z114, "SI")</f>
        <v>0</v>
      </c>
      <c r="AB109" s="762"/>
      <c r="AC109" s="719" t="e">
        <f>+VLOOKUP(AB109,Listados!$K$8:$L$12,2,0)</f>
        <v>#N/A</v>
      </c>
      <c r="AD109" s="721" t="str">
        <f>+IF(OR(AA109=1,AA109&lt;=5),"Moderado",IF(OR(AA109=6,AA109&lt;=11),"Mayor","Catastrófico"))</f>
        <v>Moderado</v>
      </c>
      <c r="AE109" s="719" t="e">
        <f>+VLOOKUP(AD109,Listados!K115:L119,2,0)</f>
        <v>#N/A</v>
      </c>
      <c r="AF109" s="714" t="str">
        <f>IF(AND(AB109&lt;&gt;"",AD109&lt;&gt;""),VLOOKUP(AB109&amp;AD109,Listados!$M$3:$N$27,2,FALSE),"")</f>
        <v/>
      </c>
      <c r="AG109" s="52" t="s">
        <v>467</v>
      </c>
      <c r="AH109" s="145"/>
      <c r="AI109" s="145"/>
      <c r="AJ109" s="145"/>
      <c r="AK109" s="28" t="str">
        <f t="shared" si="19"/>
        <v/>
      </c>
      <c r="AL109" s="145"/>
      <c r="AM109" s="28" t="str">
        <f t="shared" si="20"/>
        <v/>
      </c>
      <c r="AN109" s="140"/>
      <c r="AO109" s="28" t="str">
        <f t="shared" si="21"/>
        <v/>
      </c>
      <c r="AP109" s="140"/>
      <c r="AQ109" s="28" t="str">
        <f t="shared" si="22"/>
        <v/>
      </c>
      <c r="AR109" s="140"/>
      <c r="AS109" s="28" t="str">
        <f t="shared" si="23"/>
        <v/>
      </c>
      <c r="AT109" s="140"/>
      <c r="AU109" s="28" t="str">
        <f t="shared" si="24"/>
        <v/>
      </c>
      <c r="AV109" s="140"/>
      <c r="AW109" s="28" t="str">
        <f t="shared" si="25"/>
        <v/>
      </c>
      <c r="AX109" s="111" t="str">
        <f t="shared" si="26"/>
        <v/>
      </c>
      <c r="AY109" s="111" t="str">
        <f t="shared" si="27"/>
        <v/>
      </c>
      <c r="AZ109" s="141"/>
      <c r="BA109" s="153" t="str">
        <f t="shared" si="28"/>
        <v>Débil</v>
      </c>
      <c r="BB109" s="22" t="str">
        <f>IFERROR(VLOOKUP((CONCATENATE(AY109,BA109)),Listados!$U$3:$V$11,2,FALSE),"")</f>
        <v/>
      </c>
      <c r="BC109" s="111">
        <f t="shared" si="29"/>
        <v>100</v>
      </c>
      <c r="BD109" s="716">
        <f>AVERAGE(BC109:BC114)</f>
        <v>100</v>
      </c>
      <c r="BE109" s="718" t="str">
        <f>IF(BD109&lt;=50, "Débil", IF(BD109&lt;=99,"Moderado","Fuerte"))</f>
        <v>Fuerte</v>
      </c>
      <c r="BF109" s="716">
        <f>+IF(BE109="Fuerte",2,IF(BE109="Moderado",1,0))</f>
        <v>2</v>
      </c>
      <c r="BG109" s="716" t="e">
        <f>+AC109-BF109</f>
        <v>#N/A</v>
      </c>
      <c r="BH109" s="712" t="e">
        <f>+VLOOKUP(BG109,Listados!$J$18:$K$24,2,TRUE)</f>
        <v>#N/A</v>
      </c>
      <c r="BI109" s="714" t="str">
        <f>IF(ISBLANK(AD109),"",AD109)</f>
        <v>Moderado</v>
      </c>
      <c r="BJ109" s="712" t="e">
        <f>IF(AND(BH109&lt;&gt;"",BI109&lt;&gt;""),VLOOKUP(BH109&amp;BI109,Listados!$M$3:$N$27,2,FALSE),"")</f>
        <v>#N/A</v>
      </c>
      <c r="BK109" s="712" t="e">
        <f>+VLOOKUP(BJ109,Listados!$P$3:$Q$6,2,FALSE)</f>
        <v>#N/A</v>
      </c>
      <c r="BL109" s="799"/>
      <c r="BM109" s="800"/>
      <c r="BN109" s="801"/>
      <c r="BO109" s="799"/>
      <c r="BP109" s="800"/>
      <c r="BQ109" s="801"/>
      <c r="BR109" s="799"/>
      <c r="BS109" s="800"/>
      <c r="BT109" s="801"/>
    </row>
    <row r="110" spans="1:72" ht="15" thickBot="1">
      <c r="A110" s="724"/>
      <c r="B110" s="777"/>
      <c r="C110" s="730"/>
      <c r="D110" s="736"/>
      <c r="E110" s="161"/>
      <c r="F110" s="150"/>
      <c r="G110" s="736"/>
      <c r="H110" s="764"/>
      <c r="I110" s="764"/>
      <c r="J110" s="764"/>
      <c r="K110" s="764"/>
      <c r="L110" s="764"/>
      <c r="M110" s="764"/>
      <c r="N110" s="764"/>
      <c r="O110" s="764"/>
      <c r="P110" s="764"/>
      <c r="Q110" s="764"/>
      <c r="R110" s="764"/>
      <c r="S110" s="764"/>
      <c r="T110" s="764"/>
      <c r="U110" s="764"/>
      <c r="V110" s="764"/>
      <c r="W110" s="764"/>
      <c r="X110" s="764"/>
      <c r="Y110" s="764"/>
      <c r="Z110" s="727"/>
      <c r="AA110" s="722"/>
      <c r="AB110" s="727"/>
      <c r="AC110" s="720"/>
      <c r="AD110" s="722" t="str">
        <f>+IF(OR(AB110=1,AB110&lt;=5),"Moderado",IF(OR(AB110=6,AB110&lt;=11),"Mayor","Catastrófico"))</f>
        <v>Moderado</v>
      </c>
      <c r="AE110" s="720"/>
      <c r="AF110" s="715"/>
      <c r="AG110" s="52" t="s">
        <v>467</v>
      </c>
      <c r="AH110" s="145"/>
      <c r="AI110" s="145"/>
      <c r="AJ110" s="145"/>
      <c r="AK110" s="28" t="str">
        <f t="shared" si="19"/>
        <v/>
      </c>
      <c r="AL110" s="145"/>
      <c r="AM110" s="28" t="str">
        <f t="shared" si="20"/>
        <v/>
      </c>
      <c r="AN110" s="140"/>
      <c r="AO110" s="28" t="str">
        <f t="shared" si="21"/>
        <v/>
      </c>
      <c r="AP110" s="140"/>
      <c r="AQ110" s="28" t="str">
        <f t="shared" si="22"/>
        <v/>
      </c>
      <c r="AR110" s="140"/>
      <c r="AS110" s="28" t="str">
        <f t="shared" si="23"/>
        <v/>
      </c>
      <c r="AT110" s="140"/>
      <c r="AU110" s="28" t="str">
        <f t="shared" si="24"/>
        <v/>
      </c>
      <c r="AV110" s="140"/>
      <c r="AW110" s="28" t="str">
        <f t="shared" si="25"/>
        <v/>
      </c>
      <c r="AX110" s="111" t="str">
        <f t="shared" si="26"/>
        <v/>
      </c>
      <c r="AY110" s="111" t="str">
        <f t="shared" si="27"/>
        <v/>
      </c>
      <c r="AZ110" s="141"/>
      <c r="BA110" s="153" t="str">
        <f t="shared" si="28"/>
        <v>Débil</v>
      </c>
      <c r="BB110" s="22" t="str">
        <f>IFERROR(VLOOKUP((CONCATENATE(AY110,BA110)),Listados!$U$3:$V$11,2,FALSE),"")</f>
        <v/>
      </c>
      <c r="BC110" s="111">
        <f t="shared" si="29"/>
        <v>100</v>
      </c>
      <c r="BD110" s="717"/>
      <c r="BE110" s="761"/>
      <c r="BF110" s="717"/>
      <c r="BG110" s="717"/>
      <c r="BH110" s="713"/>
      <c r="BI110" s="715"/>
      <c r="BJ110" s="713"/>
      <c r="BK110" s="713"/>
      <c r="BL110" s="799"/>
      <c r="BM110" s="800"/>
      <c r="BN110" s="801"/>
      <c r="BO110" s="799"/>
      <c r="BP110" s="800"/>
      <c r="BQ110" s="801"/>
      <c r="BR110" s="799"/>
      <c r="BS110" s="800"/>
      <c r="BT110" s="801"/>
    </row>
    <row r="111" spans="1:72" ht="15" thickBot="1">
      <c r="A111" s="724"/>
      <c r="B111" s="777"/>
      <c r="C111" s="730"/>
      <c r="D111" s="736"/>
      <c r="E111" s="161"/>
      <c r="F111" s="150"/>
      <c r="G111" s="736"/>
      <c r="H111" s="764"/>
      <c r="I111" s="764"/>
      <c r="J111" s="764"/>
      <c r="K111" s="764"/>
      <c r="L111" s="764"/>
      <c r="M111" s="764"/>
      <c r="N111" s="764"/>
      <c r="O111" s="764"/>
      <c r="P111" s="764"/>
      <c r="Q111" s="764"/>
      <c r="R111" s="764"/>
      <c r="S111" s="764"/>
      <c r="T111" s="764"/>
      <c r="U111" s="764"/>
      <c r="V111" s="764"/>
      <c r="W111" s="764"/>
      <c r="X111" s="764"/>
      <c r="Y111" s="764"/>
      <c r="Z111" s="727"/>
      <c r="AA111" s="722"/>
      <c r="AB111" s="727"/>
      <c r="AC111" s="720"/>
      <c r="AD111" s="722" t="str">
        <f>+IF(OR(AB111=1,AB111&lt;=5),"Moderado",IF(OR(AB111=6,AB111&lt;=11),"Mayor","Catastrófico"))</f>
        <v>Moderado</v>
      </c>
      <c r="AE111" s="720"/>
      <c r="AF111" s="715"/>
      <c r="AG111" s="52" t="s">
        <v>467</v>
      </c>
      <c r="AH111" s="145"/>
      <c r="AI111" s="145"/>
      <c r="AJ111" s="145"/>
      <c r="AK111" s="28" t="str">
        <f t="shared" si="19"/>
        <v/>
      </c>
      <c r="AL111" s="145"/>
      <c r="AM111" s="28" t="str">
        <f t="shared" si="20"/>
        <v/>
      </c>
      <c r="AN111" s="140"/>
      <c r="AO111" s="28" t="str">
        <f t="shared" si="21"/>
        <v/>
      </c>
      <c r="AP111" s="140"/>
      <c r="AQ111" s="28" t="str">
        <f t="shared" si="22"/>
        <v/>
      </c>
      <c r="AR111" s="140"/>
      <c r="AS111" s="28" t="str">
        <f t="shared" si="23"/>
        <v/>
      </c>
      <c r="AT111" s="140"/>
      <c r="AU111" s="28" t="str">
        <f t="shared" si="24"/>
        <v/>
      </c>
      <c r="AV111" s="140"/>
      <c r="AW111" s="28" t="str">
        <f t="shared" si="25"/>
        <v/>
      </c>
      <c r="AX111" s="111" t="str">
        <f t="shared" si="26"/>
        <v/>
      </c>
      <c r="AY111" s="111" t="str">
        <f t="shared" si="27"/>
        <v/>
      </c>
      <c r="AZ111" s="141"/>
      <c r="BA111" s="153" t="str">
        <f t="shared" si="28"/>
        <v>Débil</v>
      </c>
      <c r="BB111" s="22" t="str">
        <f>IFERROR(VLOOKUP((CONCATENATE(AY111,BA111)),Listados!$U$3:$V$11,2,FALSE),"")</f>
        <v/>
      </c>
      <c r="BC111" s="111">
        <f t="shared" si="29"/>
        <v>100</v>
      </c>
      <c r="BD111" s="717"/>
      <c r="BE111" s="761"/>
      <c r="BF111" s="717"/>
      <c r="BG111" s="717"/>
      <c r="BH111" s="713"/>
      <c r="BI111" s="715"/>
      <c r="BJ111" s="713"/>
      <c r="BK111" s="713"/>
      <c r="BL111" s="799"/>
      <c r="BM111" s="800"/>
      <c r="BN111" s="801"/>
      <c r="BO111" s="799"/>
      <c r="BP111" s="800"/>
      <c r="BQ111" s="801"/>
      <c r="BR111" s="799"/>
      <c r="BS111" s="800"/>
      <c r="BT111" s="801"/>
    </row>
    <row r="112" spans="1:72" ht="15" thickBot="1">
      <c r="A112" s="724"/>
      <c r="B112" s="777"/>
      <c r="C112" s="730"/>
      <c r="D112" s="736"/>
      <c r="E112" s="755"/>
      <c r="F112" s="769"/>
      <c r="G112" s="736"/>
      <c r="H112" s="764"/>
      <c r="I112" s="764"/>
      <c r="J112" s="764"/>
      <c r="K112" s="764"/>
      <c r="L112" s="764"/>
      <c r="M112" s="764"/>
      <c r="N112" s="764"/>
      <c r="O112" s="764"/>
      <c r="P112" s="764"/>
      <c r="Q112" s="764"/>
      <c r="R112" s="764"/>
      <c r="S112" s="764"/>
      <c r="T112" s="764"/>
      <c r="U112" s="764"/>
      <c r="V112" s="764"/>
      <c r="W112" s="764"/>
      <c r="X112" s="764"/>
      <c r="Y112" s="764"/>
      <c r="Z112" s="727"/>
      <c r="AA112" s="722"/>
      <c r="AB112" s="727"/>
      <c r="AC112" s="720"/>
      <c r="AD112" s="722" t="str">
        <f>+IF(OR(AB112=1,AB112&lt;=5),"Moderado",IF(OR(AB112=6,AB112&lt;=11),"Mayor","Catastrófico"))</f>
        <v>Moderado</v>
      </c>
      <c r="AE112" s="720"/>
      <c r="AF112" s="715"/>
      <c r="AG112" s="52" t="s">
        <v>467</v>
      </c>
      <c r="AH112" s="145"/>
      <c r="AI112" s="145"/>
      <c r="AJ112" s="145"/>
      <c r="AK112" s="28" t="str">
        <f t="shared" si="19"/>
        <v/>
      </c>
      <c r="AL112" s="145"/>
      <c r="AM112" s="28" t="str">
        <f t="shared" si="20"/>
        <v/>
      </c>
      <c r="AN112" s="140"/>
      <c r="AO112" s="28" t="str">
        <f t="shared" si="21"/>
        <v/>
      </c>
      <c r="AP112" s="140"/>
      <c r="AQ112" s="28" t="str">
        <f t="shared" si="22"/>
        <v/>
      </c>
      <c r="AR112" s="140"/>
      <c r="AS112" s="28" t="str">
        <f t="shared" si="23"/>
        <v/>
      </c>
      <c r="AT112" s="140"/>
      <c r="AU112" s="28" t="str">
        <f t="shared" si="24"/>
        <v/>
      </c>
      <c r="AV112" s="140"/>
      <c r="AW112" s="28" t="str">
        <f t="shared" si="25"/>
        <v/>
      </c>
      <c r="AX112" s="111" t="str">
        <f t="shared" si="26"/>
        <v/>
      </c>
      <c r="AY112" s="111" t="str">
        <f t="shared" si="27"/>
        <v/>
      </c>
      <c r="AZ112" s="141"/>
      <c r="BA112" s="153" t="str">
        <f t="shared" si="28"/>
        <v>Débil</v>
      </c>
      <c r="BB112" s="22" t="str">
        <f>IFERROR(VLOOKUP((CONCATENATE(AY112,BA112)),Listados!$U$3:$V$11,2,FALSE),"")</f>
        <v/>
      </c>
      <c r="BC112" s="111">
        <f t="shared" si="29"/>
        <v>100</v>
      </c>
      <c r="BD112" s="717"/>
      <c r="BE112" s="761"/>
      <c r="BF112" s="717"/>
      <c r="BG112" s="717"/>
      <c r="BH112" s="713"/>
      <c r="BI112" s="715"/>
      <c r="BJ112" s="713"/>
      <c r="BK112" s="713"/>
      <c r="BL112" s="799"/>
      <c r="BM112" s="800"/>
      <c r="BN112" s="801"/>
      <c r="BO112" s="799"/>
      <c r="BP112" s="800"/>
      <c r="BQ112" s="801"/>
      <c r="BR112" s="799"/>
      <c r="BS112" s="800"/>
      <c r="BT112" s="801"/>
    </row>
    <row r="113" spans="1:72" ht="15" thickBot="1">
      <c r="A113" s="724"/>
      <c r="B113" s="777"/>
      <c r="C113" s="730"/>
      <c r="D113" s="736"/>
      <c r="E113" s="756"/>
      <c r="F113" s="770"/>
      <c r="G113" s="736"/>
      <c r="H113" s="764"/>
      <c r="I113" s="764"/>
      <c r="J113" s="764"/>
      <c r="K113" s="764"/>
      <c r="L113" s="764"/>
      <c r="M113" s="764"/>
      <c r="N113" s="764"/>
      <c r="O113" s="764"/>
      <c r="P113" s="764"/>
      <c r="Q113" s="764"/>
      <c r="R113" s="764"/>
      <c r="S113" s="764"/>
      <c r="T113" s="764"/>
      <c r="U113" s="764"/>
      <c r="V113" s="764"/>
      <c r="W113" s="764"/>
      <c r="X113" s="764"/>
      <c r="Y113" s="764"/>
      <c r="Z113" s="727"/>
      <c r="AA113" s="722"/>
      <c r="AB113" s="727"/>
      <c r="AC113" s="720"/>
      <c r="AD113" s="722" t="str">
        <f>+IF(OR(AB113=1,AB113&lt;=5),"Moderado",IF(OR(AB113=6,AB113&lt;=11),"Mayor","Catastrófico"))</f>
        <v>Moderado</v>
      </c>
      <c r="AE113" s="720"/>
      <c r="AF113" s="715"/>
      <c r="AG113" s="52" t="s">
        <v>467</v>
      </c>
      <c r="AH113" s="145"/>
      <c r="AI113" s="145"/>
      <c r="AJ113" s="145"/>
      <c r="AK113" s="28" t="str">
        <f t="shared" si="19"/>
        <v/>
      </c>
      <c r="AL113" s="145"/>
      <c r="AM113" s="28" t="str">
        <f t="shared" si="20"/>
        <v/>
      </c>
      <c r="AN113" s="140"/>
      <c r="AO113" s="28" t="str">
        <f t="shared" si="21"/>
        <v/>
      </c>
      <c r="AP113" s="140"/>
      <c r="AQ113" s="28" t="str">
        <f t="shared" si="22"/>
        <v/>
      </c>
      <c r="AR113" s="140"/>
      <c r="AS113" s="28" t="str">
        <f t="shared" si="23"/>
        <v/>
      </c>
      <c r="AT113" s="140"/>
      <c r="AU113" s="28" t="str">
        <f t="shared" si="24"/>
        <v/>
      </c>
      <c r="AV113" s="140"/>
      <c r="AW113" s="28" t="str">
        <f t="shared" si="25"/>
        <v/>
      </c>
      <c r="AX113" s="111" t="str">
        <f t="shared" si="26"/>
        <v/>
      </c>
      <c r="AY113" s="111" t="str">
        <f t="shared" si="27"/>
        <v/>
      </c>
      <c r="AZ113" s="141"/>
      <c r="BA113" s="153" t="str">
        <f t="shared" si="28"/>
        <v>Débil</v>
      </c>
      <c r="BB113" s="22" t="str">
        <f>IFERROR(VLOOKUP((CONCATENATE(AY113,BA113)),Listados!$U$3:$V$11,2,FALSE),"")</f>
        <v/>
      </c>
      <c r="BC113" s="111">
        <f t="shared" si="29"/>
        <v>100</v>
      </c>
      <c r="BD113" s="717"/>
      <c r="BE113" s="761"/>
      <c r="BF113" s="717"/>
      <c r="BG113" s="717"/>
      <c r="BH113" s="713"/>
      <c r="BI113" s="715"/>
      <c r="BJ113" s="713"/>
      <c r="BK113" s="713"/>
      <c r="BL113" s="799"/>
      <c r="BM113" s="800"/>
      <c r="BN113" s="801"/>
      <c r="BO113" s="799"/>
      <c r="BP113" s="800"/>
      <c r="BQ113" s="801"/>
      <c r="BR113" s="799"/>
      <c r="BS113" s="800"/>
      <c r="BT113" s="801"/>
    </row>
    <row r="114" spans="1:72" ht="15" thickBot="1">
      <c r="A114" s="725"/>
      <c r="B114" s="777"/>
      <c r="C114" s="731"/>
      <c r="D114" s="781"/>
      <c r="E114" s="757"/>
      <c r="F114" s="771"/>
      <c r="G114" s="736"/>
      <c r="H114" s="764"/>
      <c r="I114" s="764"/>
      <c r="J114" s="764"/>
      <c r="K114" s="764"/>
      <c r="L114" s="764"/>
      <c r="M114" s="764"/>
      <c r="N114" s="764"/>
      <c r="O114" s="764"/>
      <c r="P114" s="764"/>
      <c r="Q114" s="764"/>
      <c r="R114" s="764"/>
      <c r="S114" s="764"/>
      <c r="T114" s="764"/>
      <c r="U114" s="764"/>
      <c r="V114" s="764"/>
      <c r="W114" s="764"/>
      <c r="X114" s="764"/>
      <c r="Y114" s="764"/>
      <c r="Z114" s="727"/>
      <c r="AA114" s="722"/>
      <c r="AB114" s="727"/>
      <c r="AC114" s="721"/>
      <c r="AD114" s="722" t="str">
        <f>+IF(OR(AB114=1,AB114&lt;=5),"Moderado",IF(OR(AB114=6,AB114&lt;=11),"Mayor","Catastrófico"))</f>
        <v>Moderado</v>
      </c>
      <c r="AE114" s="721"/>
      <c r="AF114" s="715"/>
      <c r="AG114" s="52" t="s">
        <v>467</v>
      </c>
      <c r="AH114" s="145"/>
      <c r="AI114" s="145"/>
      <c r="AJ114" s="145"/>
      <c r="AK114" s="28" t="str">
        <f t="shared" si="19"/>
        <v/>
      </c>
      <c r="AL114" s="145"/>
      <c r="AM114" s="28" t="str">
        <f t="shared" si="20"/>
        <v/>
      </c>
      <c r="AN114" s="140"/>
      <c r="AO114" s="28" t="str">
        <f t="shared" si="21"/>
        <v/>
      </c>
      <c r="AP114" s="140"/>
      <c r="AQ114" s="28" t="str">
        <f t="shared" si="22"/>
        <v/>
      </c>
      <c r="AR114" s="140"/>
      <c r="AS114" s="28" t="str">
        <f t="shared" si="23"/>
        <v/>
      </c>
      <c r="AT114" s="140"/>
      <c r="AU114" s="28" t="str">
        <f t="shared" si="24"/>
        <v/>
      </c>
      <c r="AV114" s="140"/>
      <c r="AW114" s="28" t="str">
        <f t="shared" si="25"/>
        <v/>
      </c>
      <c r="AX114" s="111" t="str">
        <f t="shared" si="26"/>
        <v/>
      </c>
      <c r="AY114" s="111" t="str">
        <f t="shared" si="27"/>
        <v/>
      </c>
      <c r="AZ114" s="141"/>
      <c r="BA114" s="153" t="str">
        <f t="shared" si="28"/>
        <v>Débil</v>
      </c>
      <c r="BB114" s="22" t="str">
        <f>IFERROR(VLOOKUP((CONCATENATE(AY114,BA114)),Listados!$U$3:$V$11,2,FALSE),"")</f>
        <v/>
      </c>
      <c r="BC114" s="111">
        <f t="shared" si="29"/>
        <v>100</v>
      </c>
      <c r="BD114" s="718"/>
      <c r="BE114" s="761"/>
      <c r="BF114" s="718"/>
      <c r="BG114" s="718"/>
      <c r="BH114" s="714"/>
      <c r="BI114" s="715"/>
      <c r="BJ114" s="714"/>
      <c r="BK114" s="714"/>
      <c r="BL114" s="799"/>
      <c r="BM114" s="800"/>
      <c r="BN114" s="801"/>
      <c r="BO114" s="799"/>
      <c r="BP114" s="800"/>
      <c r="BQ114" s="801"/>
      <c r="BR114" s="799"/>
      <c r="BS114" s="800"/>
      <c r="BT114" s="801"/>
    </row>
    <row r="115" spans="1:72" ht="15" thickBot="1">
      <c r="A115" s="723">
        <v>19</v>
      </c>
      <c r="B115" s="776"/>
      <c r="C115" s="729" t="str">
        <f>IFERROR(VLOOKUP(B115,Listados!B$3:C$20,2,FALSE),"")</f>
        <v/>
      </c>
      <c r="D115" s="735" t="s">
        <v>584</v>
      </c>
      <c r="E115" s="105"/>
      <c r="F115" s="18"/>
      <c r="G115" s="735"/>
      <c r="H115" s="763"/>
      <c r="I115" s="763"/>
      <c r="J115" s="763"/>
      <c r="K115" s="763"/>
      <c r="L115" s="763"/>
      <c r="M115" s="763"/>
      <c r="N115" s="763"/>
      <c r="O115" s="763"/>
      <c r="P115" s="763"/>
      <c r="Q115" s="763"/>
      <c r="R115" s="763"/>
      <c r="S115" s="763"/>
      <c r="T115" s="763"/>
      <c r="U115" s="763"/>
      <c r="V115" s="763"/>
      <c r="W115" s="763"/>
      <c r="X115" s="763"/>
      <c r="Y115" s="763"/>
      <c r="Z115" s="762"/>
      <c r="AA115" s="721">
        <f>COUNTIF(H115:Z120, "SI")</f>
        <v>0</v>
      </c>
      <c r="AB115" s="762"/>
      <c r="AC115" s="719" t="e">
        <f>+VLOOKUP(AB115,Listados!$K$8:$L$12,2,0)</f>
        <v>#N/A</v>
      </c>
      <c r="AD115" s="721" t="str">
        <f>+IF(OR(AA115=1,AA115&lt;=5),"Moderado",IF(OR(AA115=6,AA115&lt;=11),"Mayor","Catastrófico"))</f>
        <v>Moderado</v>
      </c>
      <c r="AE115" s="719" t="e">
        <f>+VLOOKUP(AD115,Listados!K121:L125,2,0)</f>
        <v>#N/A</v>
      </c>
      <c r="AF115" s="714" t="str">
        <f>IF(AND(AB115&lt;&gt;"",AD115&lt;&gt;""),VLOOKUP(AB115&amp;AD115,Listados!$M$3:$N$27,2,FALSE),"")</f>
        <v/>
      </c>
      <c r="AG115" s="52" t="s">
        <v>467</v>
      </c>
      <c r="AH115" s="145"/>
      <c r="AI115" s="145"/>
      <c r="AJ115" s="145"/>
      <c r="AK115" s="28" t="str">
        <f t="shared" si="19"/>
        <v/>
      </c>
      <c r="AL115" s="145"/>
      <c r="AM115" s="28" t="str">
        <f t="shared" si="20"/>
        <v/>
      </c>
      <c r="AN115" s="140"/>
      <c r="AO115" s="28" t="str">
        <f t="shared" si="21"/>
        <v/>
      </c>
      <c r="AP115" s="140"/>
      <c r="AQ115" s="28" t="str">
        <f t="shared" si="22"/>
        <v/>
      </c>
      <c r="AR115" s="140"/>
      <c r="AS115" s="28" t="str">
        <f t="shared" si="23"/>
        <v/>
      </c>
      <c r="AT115" s="140"/>
      <c r="AU115" s="28" t="str">
        <f t="shared" si="24"/>
        <v/>
      </c>
      <c r="AV115" s="140"/>
      <c r="AW115" s="28" t="str">
        <f t="shared" si="25"/>
        <v/>
      </c>
      <c r="AX115" s="111" t="str">
        <f t="shared" si="26"/>
        <v/>
      </c>
      <c r="AY115" s="111" t="str">
        <f t="shared" si="27"/>
        <v/>
      </c>
      <c r="AZ115" s="141"/>
      <c r="BA115" s="153" t="str">
        <f t="shared" si="28"/>
        <v>Débil</v>
      </c>
      <c r="BB115" s="22" t="str">
        <f>IFERROR(VLOOKUP((CONCATENATE(AY115,BA115)),Listados!$U$3:$V$11,2,FALSE),"")</f>
        <v/>
      </c>
      <c r="BC115" s="111">
        <f t="shared" si="29"/>
        <v>100</v>
      </c>
      <c r="BD115" s="716">
        <f>AVERAGE(BC115:BC120)</f>
        <v>100</v>
      </c>
      <c r="BE115" s="718" t="str">
        <f>IF(BD115&lt;=50, "Débil", IF(BD115&lt;=99,"Moderado","Fuerte"))</f>
        <v>Fuerte</v>
      </c>
      <c r="BF115" s="716">
        <f>+IF(BE115="Fuerte",2,IF(BE115="Moderado",1,0))</f>
        <v>2</v>
      </c>
      <c r="BG115" s="716" t="e">
        <f>+AC115-BF115</f>
        <v>#N/A</v>
      </c>
      <c r="BH115" s="712" t="e">
        <f>+VLOOKUP(BG115,Listados!$J$18:$K$24,2,TRUE)</f>
        <v>#N/A</v>
      </c>
      <c r="BI115" s="714" t="str">
        <f>IF(ISBLANK(AD115),"",AD115)</f>
        <v>Moderado</v>
      </c>
      <c r="BJ115" s="712" t="e">
        <f>IF(AND(BH115&lt;&gt;"",BI115&lt;&gt;""),VLOOKUP(BH115&amp;BI115,Listados!$M$3:$N$27,2,FALSE),"")</f>
        <v>#N/A</v>
      </c>
      <c r="BK115" s="712" t="e">
        <f>+VLOOKUP(BJ115,Listados!$P$3:$Q$6,2,FALSE)</f>
        <v>#N/A</v>
      </c>
      <c r="BL115" s="799"/>
      <c r="BM115" s="800"/>
      <c r="BN115" s="801"/>
      <c r="BO115" s="799"/>
      <c r="BP115" s="800"/>
      <c r="BQ115" s="801"/>
      <c r="BR115" s="799"/>
      <c r="BS115" s="800"/>
      <c r="BT115" s="801"/>
    </row>
    <row r="116" spans="1:72" ht="15" thickBot="1">
      <c r="A116" s="724"/>
      <c r="B116" s="777"/>
      <c r="C116" s="730"/>
      <c r="D116" s="736"/>
      <c r="E116" s="161"/>
      <c r="F116" s="150"/>
      <c r="G116" s="736"/>
      <c r="H116" s="764"/>
      <c r="I116" s="764"/>
      <c r="J116" s="764"/>
      <c r="K116" s="764"/>
      <c r="L116" s="764"/>
      <c r="M116" s="764"/>
      <c r="N116" s="764"/>
      <c r="O116" s="764"/>
      <c r="P116" s="764"/>
      <c r="Q116" s="764"/>
      <c r="R116" s="764"/>
      <c r="S116" s="764"/>
      <c r="T116" s="764"/>
      <c r="U116" s="764"/>
      <c r="V116" s="764"/>
      <c r="W116" s="764"/>
      <c r="X116" s="764"/>
      <c r="Y116" s="764"/>
      <c r="Z116" s="727"/>
      <c r="AA116" s="722"/>
      <c r="AB116" s="727"/>
      <c r="AC116" s="720"/>
      <c r="AD116" s="722" t="str">
        <f>+IF(OR(AB116=1,AB116&lt;=5),"Moderado",IF(OR(AB116=6,AB116&lt;=11),"Mayor","Catastrófico"))</f>
        <v>Moderado</v>
      </c>
      <c r="AE116" s="720"/>
      <c r="AF116" s="715"/>
      <c r="AG116" s="52" t="s">
        <v>467</v>
      </c>
      <c r="AH116" s="145"/>
      <c r="AI116" s="145"/>
      <c r="AJ116" s="145"/>
      <c r="AK116" s="28" t="str">
        <f t="shared" si="19"/>
        <v/>
      </c>
      <c r="AL116" s="145"/>
      <c r="AM116" s="28" t="str">
        <f t="shared" si="20"/>
        <v/>
      </c>
      <c r="AN116" s="140"/>
      <c r="AO116" s="28" t="str">
        <f t="shared" si="21"/>
        <v/>
      </c>
      <c r="AP116" s="140"/>
      <c r="AQ116" s="28" t="str">
        <f t="shared" si="22"/>
        <v/>
      </c>
      <c r="AR116" s="140"/>
      <c r="AS116" s="28" t="str">
        <f t="shared" si="23"/>
        <v/>
      </c>
      <c r="AT116" s="140"/>
      <c r="AU116" s="28" t="str">
        <f t="shared" si="24"/>
        <v/>
      </c>
      <c r="AV116" s="140"/>
      <c r="AW116" s="28" t="str">
        <f t="shared" si="25"/>
        <v/>
      </c>
      <c r="AX116" s="111" t="str">
        <f t="shared" si="26"/>
        <v/>
      </c>
      <c r="AY116" s="111" t="str">
        <f t="shared" si="27"/>
        <v/>
      </c>
      <c r="AZ116" s="141"/>
      <c r="BA116" s="153" t="str">
        <f t="shared" si="28"/>
        <v>Débil</v>
      </c>
      <c r="BB116" s="22" t="str">
        <f>IFERROR(VLOOKUP((CONCATENATE(AY116,BA116)),Listados!$U$3:$V$11,2,FALSE),"")</f>
        <v/>
      </c>
      <c r="BC116" s="111">
        <f t="shared" si="29"/>
        <v>100</v>
      </c>
      <c r="BD116" s="717"/>
      <c r="BE116" s="761"/>
      <c r="BF116" s="717"/>
      <c r="BG116" s="717"/>
      <c r="BH116" s="713"/>
      <c r="BI116" s="715"/>
      <c r="BJ116" s="713"/>
      <c r="BK116" s="713"/>
      <c r="BL116" s="799"/>
      <c r="BM116" s="800"/>
      <c r="BN116" s="801"/>
      <c r="BO116" s="799"/>
      <c r="BP116" s="800"/>
      <c r="BQ116" s="801"/>
      <c r="BR116" s="799"/>
      <c r="BS116" s="800"/>
      <c r="BT116" s="801"/>
    </row>
    <row r="117" spans="1:72" ht="15" thickBot="1">
      <c r="A117" s="724"/>
      <c r="B117" s="777"/>
      <c r="C117" s="730"/>
      <c r="D117" s="736"/>
      <c r="E117" s="161"/>
      <c r="F117" s="150"/>
      <c r="G117" s="736"/>
      <c r="H117" s="764"/>
      <c r="I117" s="764"/>
      <c r="J117" s="764"/>
      <c r="K117" s="764"/>
      <c r="L117" s="764"/>
      <c r="M117" s="764"/>
      <c r="N117" s="764"/>
      <c r="O117" s="764"/>
      <c r="P117" s="764"/>
      <c r="Q117" s="764"/>
      <c r="R117" s="764"/>
      <c r="S117" s="764"/>
      <c r="T117" s="764"/>
      <c r="U117" s="764"/>
      <c r="V117" s="764"/>
      <c r="W117" s="764"/>
      <c r="X117" s="764"/>
      <c r="Y117" s="764"/>
      <c r="Z117" s="727"/>
      <c r="AA117" s="722"/>
      <c r="AB117" s="727"/>
      <c r="AC117" s="720"/>
      <c r="AD117" s="722" t="str">
        <f>+IF(OR(AB117=1,AB117&lt;=5),"Moderado",IF(OR(AB117=6,AB117&lt;=11),"Mayor","Catastrófico"))</f>
        <v>Moderado</v>
      </c>
      <c r="AE117" s="720"/>
      <c r="AF117" s="715"/>
      <c r="AG117" s="52" t="s">
        <v>467</v>
      </c>
      <c r="AH117" s="145"/>
      <c r="AI117" s="145"/>
      <c r="AJ117" s="145"/>
      <c r="AK117" s="28" t="str">
        <f t="shared" si="19"/>
        <v/>
      </c>
      <c r="AL117" s="145"/>
      <c r="AM117" s="28" t="str">
        <f t="shared" si="20"/>
        <v/>
      </c>
      <c r="AN117" s="140"/>
      <c r="AO117" s="28" t="str">
        <f t="shared" si="21"/>
        <v/>
      </c>
      <c r="AP117" s="140"/>
      <c r="AQ117" s="28" t="str">
        <f t="shared" si="22"/>
        <v/>
      </c>
      <c r="AR117" s="140"/>
      <c r="AS117" s="28" t="str">
        <f t="shared" si="23"/>
        <v/>
      </c>
      <c r="AT117" s="140"/>
      <c r="AU117" s="28" t="str">
        <f t="shared" si="24"/>
        <v/>
      </c>
      <c r="AV117" s="140"/>
      <c r="AW117" s="28" t="str">
        <f t="shared" si="25"/>
        <v/>
      </c>
      <c r="AX117" s="111" t="str">
        <f t="shared" si="26"/>
        <v/>
      </c>
      <c r="AY117" s="111" t="str">
        <f t="shared" si="27"/>
        <v/>
      </c>
      <c r="AZ117" s="141"/>
      <c r="BA117" s="153" t="str">
        <f t="shared" si="28"/>
        <v>Débil</v>
      </c>
      <c r="BB117" s="22" t="str">
        <f>IFERROR(VLOOKUP((CONCATENATE(AY117,BA117)),Listados!$U$3:$V$11,2,FALSE),"")</f>
        <v/>
      </c>
      <c r="BC117" s="111">
        <f t="shared" si="29"/>
        <v>100</v>
      </c>
      <c r="BD117" s="717"/>
      <c r="BE117" s="761"/>
      <c r="BF117" s="717"/>
      <c r="BG117" s="717"/>
      <c r="BH117" s="713"/>
      <c r="BI117" s="715"/>
      <c r="BJ117" s="713"/>
      <c r="BK117" s="713"/>
      <c r="BL117" s="799"/>
      <c r="BM117" s="800"/>
      <c r="BN117" s="801"/>
      <c r="BO117" s="799"/>
      <c r="BP117" s="800"/>
      <c r="BQ117" s="801"/>
      <c r="BR117" s="799"/>
      <c r="BS117" s="800"/>
      <c r="BT117" s="801"/>
    </row>
    <row r="118" spans="1:72" ht="15" thickBot="1">
      <c r="A118" s="724"/>
      <c r="B118" s="777"/>
      <c r="C118" s="730"/>
      <c r="D118" s="736"/>
      <c r="E118" s="755"/>
      <c r="F118" s="769"/>
      <c r="G118" s="736"/>
      <c r="H118" s="764"/>
      <c r="I118" s="764"/>
      <c r="J118" s="764"/>
      <c r="K118" s="764"/>
      <c r="L118" s="764"/>
      <c r="M118" s="764"/>
      <c r="N118" s="764"/>
      <c r="O118" s="764"/>
      <c r="P118" s="764"/>
      <c r="Q118" s="764"/>
      <c r="R118" s="764"/>
      <c r="S118" s="764"/>
      <c r="T118" s="764"/>
      <c r="U118" s="764"/>
      <c r="V118" s="764"/>
      <c r="W118" s="764"/>
      <c r="X118" s="764"/>
      <c r="Y118" s="764"/>
      <c r="Z118" s="727"/>
      <c r="AA118" s="722"/>
      <c r="AB118" s="727"/>
      <c r="AC118" s="720"/>
      <c r="AD118" s="722" t="str">
        <f>+IF(OR(AB118=1,AB118&lt;=5),"Moderado",IF(OR(AB118=6,AB118&lt;=11),"Mayor","Catastrófico"))</f>
        <v>Moderado</v>
      </c>
      <c r="AE118" s="720"/>
      <c r="AF118" s="715"/>
      <c r="AG118" s="52" t="s">
        <v>467</v>
      </c>
      <c r="AH118" s="145"/>
      <c r="AI118" s="145"/>
      <c r="AJ118" s="145"/>
      <c r="AK118" s="28" t="str">
        <f t="shared" si="19"/>
        <v/>
      </c>
      <c r="AL118" s="145"/>
      <c r="AM118" s="28" t="str">
        <f t="shared" si="20"/>
        <v/>
      </c>
      <c r="AN118" s="140"/>
      <c r="AO118" s="28" t="str">
        <f t="shared" si="21"/>
        <v/>
      </c>
      <c r="AP118" s="140"/>
      <c r="AQ118" s="28" t="str">
        <f t="shared" si="22"/>
        <v/>
      </c>
      <c r="AR118" s="140"/>
      <c r="AS118" s="28" t="str">
        <f t="shared" si="23"/>
        <v/>
      </c>
      <c r="AT118" s="140"/>
      <c r="AU118" s="28" t="str">
        <f t="shared" si="24"/>
        <v/>
      </c>
      <c r="AV118" s="140"/>
      <c r="AW118" s="28" t="str">
        <f t="shared" si="25"/>
        <v/>
      </c>
      <c r="AX118" s="111" t="str">
        <f t="shared" si="26"/>
        <v/>
      </c>
      <c r="AY118" s="111" t="str">
        <f t="shared" si="27"/>
        <v/>
      </c>
      <c r="AZ118" s="141"/>
      <c r="BA118" s="153" t="str">
        <f t="shared" si="28"/>
        <v>Débil</v>
      </c>
      <c r="BB118" s="22" t="str">
        <f>IFERROR(VLOOKUP((CONCATENATE(AY118,BA118)),Listados!$U$3:$V$11,2,FALSE),"")</f>
        <v/>
      </c>
      <c r="BC118" s="111">
        <f t="shared" si="29"/>
        <v>100</v>
      </c>
      <c r="BD118" s="717"/>
      <c r="BE118" s="761"/>
      <c r="BF118" s="717"/>
      <c r="BG118" s="717"/>
      <c r="BH118" s="713"/>
      <c r="BI118" s="715"/>
      <c r="BJ118" s="713"/>
      <c r="BK118" s="713"/>
      <c r="BL118" s="799"/>
      <c r="BM118" s="800"/>
      <c r="BN118" s="801"/>
      <c r="BO118" s="799"/>
      <c r="BP118" s="800"/>
      <c r="BQ118" s="801"/>
      <c r="BR118" s="799"/>
      <c r="BS118" s="800"/>
      <c r="BT118" s="801"/>
    </row>
    <row r="119" spans="1:72" ht="15" thickBot="1">
      <c r="A119" s="724"/>
      <c r="B119" s="777"/>
      <c r="C119" s="730"/>
      <c r="D119" s="736"/>
      <c r="E119" s="756"/>
      <c r="F119" s="770"/>
      <c r="G119" s="736"/>
      <c r="H119" s="764"/>
      <c r="I119" s="764"/>
      <c r="J119" s="764"/>
      <c r="K119" s="764"/>
      <c r="L119" s="764"/>
      <c r="M119" s="764"/>
      <c r="N119" s="764"/>
      <c r="O119" s="764"/>
      <c r="P119" s="764"/>
      <c r="Q119" s="764"/>
      <c r="R119" s="764"/>
      <c r="S119" s="764"/>
      <c r="T119" s="764"/>
      <c r="U119" s="764"/>
      <c r="V119" s="764"/>
      <c r="W119" s="764"/>
      <c r="X119" s="764"/>
      <c r="Y119" s="764"/>
      <c r="Z119" s="727"/>
      <c r="AA119" s="722"/>
      <c r="AB119" s="727"/>
      <c r="AC119" s="720"/>
      <c r="AD119" s="722" t="str">
        <f>+IF(OR(AB119=1,AB119&lt;=5),"Moderado",IF(OR(AB119=6,AB119&lt;=11),"Mayor","Catastrófico"))</f>
        <v>Moderado</v>
      </c>
      <c r="AE119" s="720"/>
      <c r="AF119" s="715"/>
      <c r="AG119" s="52" t="s">
        <v>467</v>
      </c>
      <c r="AH119" s="145"/>
      <c r="AI119" s="145"/>
      <c r="AJ119" s="145"/>
      <c r="AK119" s="28" t="str">
        <f t="shared" si="19"/>
        <v/>
      </c>
      <c r="AL119" s="145"/>
      <c r="AM119" s="28" t="str">
        <f t="shared" si="20"/>
        <v/>
      </c>
      <c r="AN119" s="140"/>
      <c r="AO119" s="28" t="str">
        <f t="shared" si="21"/>
        <v/>
      </c>
      <c r="AP119" s="140"/>
      <c r="AQ119" s="28" t="str">
        <f t="shared" si="22"/>
        <v/>
      </c>
      <c r="AR119" s="140"/>
      <c r="AS119" s="28" t="str">
        <f t="shared" si="23"/>
        <v/>
      </c>
      <c r="AT119" s="140"/>
      <c r="AU119" s="28" t="str">
        <f t="shared" si="24"/>
        <v/>
      </c>
      <c r="AV119" s="140"/>
      <c r="AW119" s="28" t="str">
        <f t="shared" si="25"/>
        <v/>
      </c>
      <c r="AX119" s="111" t="str">
        <f t="shared" si="26"/>
        <v/>
      </c>
      <c r="AY119" s="111" t="str">
        <f t="shared" si="27"/>
        <v/>
      </c>
      <c r="AZ119" s="141"/>
      <c r="BA119" s="153" t="str">
        <f t="shared" si="28"/>
        <v>Débil</v>
      </c>
      <c r="BB119" s="22" t="str">
        <f>IFERROR(VLOOKUP((CONCATENATE(AY119,BA119)),Listados!$U$3:$V$11,2,FALSE),"")</f>
        <v/>
      </c>
      <c r="BC119" s="111">
        <f t="shared" si="29"/>
        <v>100</v>
      </c>
      <c r="BD119" s="717"/>
      <c r="BE119" s="761"/>
      <c r="BF119" s="717"/>
      <c r="BG119" s="717"/>
      <c r="BH119" s="713"/>
      <c r="BI119" s="715"/>
      <c r="BJ119" s="713"/>
      <c r="BK119" s="713"/>
      <c r="BL119" s="799"/>
      <c r="BM119" s="800"/>
      <c r="BN119" s="801"/>
      <c r="BO119" s="799"/>
      <c r="BP119" s="800"/>
      <c r="BQ119" s="801"/>
      <c r="BR119" s="799"/>
      <c r="BS119" s="800"/>
      <c r="BT119" s="801"/>
    </row>
    <row r="120" spans="1:72" ht="15" thickBot="1">
      <c r="A120" s="725"/>
      <c r="B120" s="777"/>
      <c r="C120" s="731"/>
      <c r="D120" s="781"/>
      <c r="E120" s="757"/>
      <c r="F120" s="771"/>
      <c r="G120" s="736"/>
      <c r="H120" s="764"/>
      <c r="I120" s="764"/>
      <c r="J120" s="764"/>
      <c r="K120" s="764"/>
      <c r="L120" s="764"/>
      <c r="M120" s="764"/>
      <c r="N120" s="764"/>
      <c r="O120" s="764"/>
      <c r="P120" s="764"/>
      <c r="Q120" s="764"/>
      <c r="R120" s="764"/>
      <c r="S120" s="764"/>
      <c r="T120" s="764"/>
      <c r="U120" s="764"/>
      <c r="V120" s="764"/>
      <c r="W120" s="764"/>
      <c r="X120" s="764"/>
      <c r="Y120" s="764"/>
      <c r="Z120" s="727"/>
      <c r="AA120" s="722"/>
      <c r="AB120" s="727"/>
      <c r="AC120" s="721"/>
      <c r="AD120" s="722" t="str">
        <f>+IF(OR(AB120=1,AB120&lt;=5),"Moderado",IF(OR(AB120=6,AB120&lt;=11),"Mayor","Catastrófico"))</f>
        <v>Moderado</v>
      </c>
      <c r="AE120" s="721"/>
      <c r="AF120" s="715"/>
      <c r="AG120" s="52" t="s">
        <v>467</v>
      </c>
      <c r="AH120" s="145"/>
      <c r="AI120" s="145"/>
      <c r="AJ120" s="145"/>
      <c r="AK120" s="28" t="str">
        <f t="shared" si="19"/>
        <v/>
      </c>
      <c r="AL120" s="145"/>
      <c r="AM120" s="28" t="str">
        <f t="shared" si="20"/>
        <v/>
      </c>
      <c r="AN120" s="140"/>
      <c r="AO120" s="28" t="str">
        <f t="shared" si="21"/>
        <v/>
      </c>
      <c r="AP120" s="140"/>
      <c r="AQ120" s="28" t="str">
        <f t="shared" si="22"/>
        <v/>
      </c>
      <c r="AR120" s="140"/>
      <c r="AS120" s="28" t="str">
        <f t="shared" si="23"/>
        <v/>
      </c>
      <c r="AT120" s="140"/>
      <c r="AU120" s="28" t="str">
        <f t="shared" si="24"/>
        <v/>
      </c>
      <c r="AV120" s="140"/>
      <c r="AW120" s="28" t="str">
        <f t="shared" si="25"/>
        <v/>
      </c>
      <c r="AX120" s="111" t="str">
        <f t="shared" si="26"/>
        <v/>
      </c>
      <c r="AY120" s="111" t="str">
        <f t="shared" si="27"/>
        <v/>
      </c>
      <c r="AZ120" s="141"/>
      <c r="BA120" s="153" t="str">
        <f t="shared" si="28"/>
        <v>Débil</v>
      </c>
      <c r="BB120" s="22" t="str">
        <f>IFERROR(VLOOKUP((CONCATENATE(AY120,BA120)),Listados!$U$3:$V$11,2,FALSE),"")</f>
        <v/>
      </c>
      <c r="BC120" s="111">
        <f t="shared" si="29"/>
        <v>100</v>
      </c>
      <c r="BD120" s="718"/>
      <c r="BE120" s="761"/>
      <c r="BF120" s="718"/>
      <c r="BG120" s="718"/>
      <c r="BH120" s="714"/>
      <c r="BI120" s="715"/>
      <c r="BJ120" s="714"/>
      <c r="BK120" s="714"/>
      <c r="BL120" s="799"/>
      <c r="BM120" s="800"/>
      <c r="BN120" s="801"/>
      <c r="BO120" s="799"/>
      <c r="BP120" s="800"/>
      <c r="BQ120" s="801"/>
      <c r="BR120" s="799"/>
      <c r="BS120" s="800"/>
      <c r="BT120" s="801"/>
    </row>
    <row r="121" spans="1:72" ht="15" thickBot="1">
      <c r="A121" s="723">
        <v>20</v>
      </c>
      <c r="B121" s="776"/>
      <c r="C121" s="729" t="str">
        <f>IFERROR(VLOOKUP(B121,Listados!B$3:C$20,2,FALSE),"")</f>
        <v/>
      </c>
      <c r="D121" s="735" t="s">
        <v>584</v>
      </c>
      <c r="E121" s="105"/>
      <c r="F121" s="18"/>
      <c r="G121" s="735"/>
      <c r="H121" s="763"/>
      <c r="I121" s="763"/>
      <c r="J121" s="763"/>
      <c r="K121" s="763"/>
      <c r="L121" s="763"/>
      <c r="M121" s="763"/>
      <c r="N121" s="763"/>
      <c r="O121" s="763"/>
      <c r="P121" s="763"/>
      <c r="Q121" s="763"/>
      <c r="R121" s="763"/>
      <c r="S121" s="763"/>
      <c r="T121" s="763"/>
      <c r="U121" s="763"/>
      <c r="V121" s="763"/>
      <c r="W121" s="763"/>
      <c r="X121" s="763"/>
      <c r="Y121" s="763"/>
      <c r="Z121" s="762"/>
      <c r="AA121" s="721">
        <f>COUNTIF(H121:Z126, "SI")</f>
        <v>0</v>
      </c>
      <c r="AB121" s="762"/>
      <c r="AC121" s="719" t="e">
        <f>+VLOOKUP(AB121,Listados!$K$8:$L$12,2,0)</f>
        <v>#N/A</v>
      </c>
      <c r="AD121" s="721" t="str">
        <f>+IF(OR(AA121=1,AA121&lt;=5),"Moderado",IF(OR(AA121=6,AA121&lt;=11),"Mayor","Catastrófico"))</f>
        <v>Moderado</v>
      </c>
      <c r="AE121" s="719" t="e">
        <f>+VLOOKUP(AD121,Listados!K127:L131,2,0)</f>
        <v>#N/A</v>
      </c>
      <c r="AF121" s="714" t="str">
        <f>IF(AND(AB121&lt;&gt;"",AD121&lt;&gt;""),VLOOKUP(AB121&amp;AD121,Listados!$M$3:$N$27,2,FALSE),"")</f>
        <v/>
      </c>
      <c r="AG121" s="52" t="s">
        <v>467</v>
      </c>
      <c r="AH121" s="145"/>
      <c r="AI121" s="145"/>
      <c r="AJ121" s="145"/>
      <c r="AK121" s="28" t="str">
        <f t="shared" si="19"/>
        <v/>
      </c>
      <c r="AL121" s="145"/>
      <c r="AM121" s="28" t="str">
        <f t="shared" si="20"/>
        <v/>
      </c>
      <c r="AN121" s="140"/>
      <c r="AO121" s="28" t="str">
        <f t="shared" si="21"/>
        <v/>
      </c>
      <c r="AP121" s="140"/>
      <c r="AQ121" s="28" t="str">
        <f t="shared" si="22"/>
        <v/>
      </c>
      <c r="AR121" s="140"/>
      <c r="AS121" s="28" t="str">
        <f t="shared" si="23"/>
        <v/>
      </c>
      <c r="AT121" s="140"/>
      <c r="AU121" s="28" t="str">
        <f t="shared" si="24"/>
        <v/>
      </c>
      <c r="AV121" s="140"/>
      <c r="AW121" s="28" t="str">
        <f t="shared" si="25"/>
        <v/>
      </c>
      <c r="AX121" s="111" t="str">
        <f t="shared" si="26"/>
        <v/>
      </c>
      <c r="AY121" s="111" t="str">
        <f t="shared" si="27"/>
        <v/>
      </c>
      <c r="AZ121" s="141"/>
      <c r="BA121" s="153" t="str">
        <f t="shared" si="28"/>
        <v>Débil</v>
      </c>
      <c r="BB121" s="22" t="str">
        <f>IFERROR(VLOOKUP((CONCATENATE(AY121,BA121)),Listados!$U$3:$V$11,2,FALSE),"")</f>
        <v/>
      </c>
      <c r="BC121" s="111">
        <f t="shared" si="29"/>
        <v>100</v>
      </c>
      <c r="BD121" s="716">
        <f>AVERAGE(BC121:BC126)</f>
        <v>100</v>
      </c>
      <c r="BE121" s="718" t="str">
        <f>IF(BD121&lt;=50, "Débil", IF(BD121&lt;=99,"Moderado","Fuerte"))</f>
        <v>Fuerte</v>
      </c>
      <c r="BF121" s="716">
        <f>+IF(BE121="Fuerte",2,IF(BE121="Moderado",1,0))</f>
        <v>2</v>
      </c>
      <c r="BG121" s="716" t="e">
        <f>+AC121-BF121</f>
        <v>#N/A</v>
      </c>
      <c r="BH121" s="712" t="e">
        <f>+VLOOKUP(BG121,Listados!$J$18:$K$24,2,TRUE)</f>
        <v>#N/A</v>
      </c>
      <c r="BI121" s="714" t="str">
        <f>IF(ISBLANK(AD121),"",AD121)</f>
        <v>Moderado</v>
      </c>
      <c r="BJ121" s="712" t="e">
        <f>IF(AND(BH121&lt;&gt;"",BI121&lt;&gt;""),VLOOKUP(BH121&amp;BI121,Listados!$M$3:$N$27,2,FALSE),"")</f>
        <v>#N/A</v>
      </c>
      <c r="BK121" s="712" t="e">
        <f>+VLOOKUP(BJ121,Listados!$P$3:$Q$6,2,FALSE)</f>
        <v>#N/A</v>
      </c>
      <c r="BL121" s="799"/>
      <c r="BM121" s="800"/>
      <c r="BN121" s="801"/>
      <c r="BO121" s="799"/>
      <c r="BP121" s="800"/>
      <c r="BQ121" s="801"/>
      <c r="BR121" s="799"/>
      <c r="BS121" s="800"/>
      <c r="BT121" s="801"/>
    </row>
    <row r="122" spans="1:72" ht="15" thickBot="1">
      <c r="A122" s="724"/>
      <c r="B122" s="777"/>
      <c r="C122" s="730"/>
      <c r="D122" s="736"/>
      <c r="E122" s="161"/>
      <c r="F122" s="150"/>
      <c r="G122" s="736"/>
      <c r="H122" s="764"/>
      <c r="I122" s="764"/>
      <c r="J122" s="764"/>
      <c r="K122" s="764"/>
      <c r="L122" s="764"/>
      <c r="M122" s="764"/>
      <c r="N122" s="764"/>
      <c r="O122" s="764"/>
      <c r="P122" s="764"/>
      <c r="Q122" s="764"/>
      <c r="R122" s="764"/>
      <c r="S122" s="764"/>
      <c r="T122" s="764"/>
      <c r="U122" s="764"/>
      <c r="V122" s="764"/>
      <c r="W122" s="764"/>
      <c r="X122" s="764"/>
      <c r="Y122" s="764"/>
      <c r="Z122" s="727"/>
      <c r="AA122" s="722"/>
      <c r="AB122" s="727"/>
      <c r="AC122" s="720"/>
      <c r="AD122" s="722" t="str">
        <f>+IF(OR(AB122=1,AB122&lt;=5),"Moderado",IF(OR(AB122=6,AB122&lt;=11),"Mayor","Catastrófico"))</f>
        <v>Moderado</v>
      </c>
      <c r="AE122" s="720"/>
      <c r="AF122" s="715"/>
      <c r="AG122" s="52" t="s">
        <v>467</v>
      </c>
      <c r="AH122" s="145"/>
      <c r="AI122" s="145"/>
      <c r="AJ122" s="145"/>
      <c r="AK122" s="28" t="str">
        <f t="shared" si="19"/>
        <v/>
      </c>
      <c r="AL122" s="145"/>
      <c r="AM122" s="28" t="str">
        <f t="shared" si="20"/>
        <v/>
      </c>
      <c r="AN122" s="140"/>
      <c r="AO122" s="28" t="str">
        <f t="shared" si="21"/>
        <v/>
      </c>
      <c r="AP122" s="140"/>
      <c r="AQ122" s="28" t="str">
        <f t="shared" si="22"/>
        <v/>
      </c>
      <c r="AR122" s="140"/>
      <c r="AS122" s="28" t="str">
        <f t="shared" si="23"/>
        <v/>
      </c>
      <c r="AT122" s="140"/>
      <c r="AU122" s="28" t="str">
        <f t="shared" si="24"/>
        <v/>
      </c>
      <c r="AV122" s="140"/>
      <c r="AW122" s="28" t="str">
        <f t="shared" si="25"/>
        <v/>
      </c>
      <c r="AX122" s="111" t="str">
        <f t="shared" si="26"/>
        <v/>
      </c>
      <c r="AY122" s="111" t="str">
        <f t="shared" si="27"/>
        <v/>
      </c>
      <c r="AZ122" s="141"/>
      <c r="BA122" s="153" t="str">
        <f t="shared" si="28"/>
        <v>Débil</v>
      </c>
      <c r="BB122" s="22" t="str">
        <f>IFERROR(VLOOKUP((CONCATENATE(AY122,BA122)),Listados!$U$3:$V$11,2,FALSE),"")</f>
        <v/>
      </c>
      <c r="BC122" s="111">
        <f t="shared" si="29"/>
        <v>100</v>
      </c>
      <c r="BD122" s="717"/>
      <c r="BE122" s="761"/>
      <c r="BF122" s="717"/>
      <c r="BG122" s="717"/>
      <c r="BH122" s="713"/>
      <c r="BI122" s="715"/>
      <c r="BJ122" s="713"/>
      <c r="BK122" s="713"/>
      <c r="BL122" s="799"/>
      <c r="BM122" s="800"/>
      <c r="BN122" s="801"/>
      <c r="BO122" s="799"/>
      <c r="BP122" s="800"/>
      <c r="BQ122" s="801"/>
      <c r="BR122" s="799"/>
      <c r="BS122" s="800"/>
      <c r="BT122" s="801"/>
    </row>
    <row r="123" spans="1:72" ht="15" thickBot="1">
      <c r="A123" s="724"/>
      <c r="B123" s="777"/>
      <c r="C123" s="730"/>
      <c r="D123" s="736"/>
      <c r="E123" s="161"/>
      <c r="F123" s="150"/>
      <c r="G123" s="736"/>
      <c r="H123" s="764"/>
      <c r="I123" s="764"/>
      <c r="J123" s="764"/>
      <c r="K123" s="764"/>
      <c r="L123" s="764"/>
      <c r="M123" s="764"/>
      <c r="N123" s="764"/>
      <c r="O123" s="764"/>
      <c r="P123" s="764"/>
      <c r="Q123" s="764"/>
      <c r="R123" s="764"/>
      <c r="S123" s="764"/>
      <c r="T123" s="764"/>
      <c r="U123" s="764"/>
      <c r="V123" s="764"/>
      <c r="W123" s="764"/>
      <c r="X123" s="764"/>
      <c r="Y123" s="764"/>
      <c r="Z123" s="727"/>
      <c r="AA123" s="722"/>
      <c r="AB123" s="727"/>
      <c r="AC123" s="720"/>
      <c r="AD123" s="722" t="str">
        <f>+IF(OR(AB123=1,AB123&lt;=5),"Moderado",IF(OR(AB123=6,AB123&lt;=11),"Mayor","Catastrófico"))</f>
        <v>Moderado</v>
      </c>
      <c r="AE123" s="720"/>
      <c r="AF123" s="715"/>
      <c r="AG123" s="52" t="s">
        <v>467</v>
      </c>
      <c r="AH123" s="145"/>
      <c r="AI123" s="145"/>
      <c r="AJ123" s="145"/>
      <c r="AK123" s="28" t="str">
        <f t="shared" si="19"/>
        <v/>
      </c>
      <c r="AL123" s="145"/>
      <c r="AM123" s="28" t="str">
        <f t="shared" si="20"/>
        <v/>
      </c>
      <c r="AN123" s="140"/>
      <c r="AO123" s="28" t="str">
        <f t="shared" si="21"/>
        <v/>
      </c>
      <c r="AP123" s="140"/>
      <c r="AQ123" s="28" t="str">
        <f t="shared" si="22"/>
        <v/>
      </c>
      <c r="AR123" s="140"/>
      <c r="AS123" s="28" t="str">
        <f t="shared" si="23"/>
        <v/>
      </c>
      <c r="AT123" s="140"/>
      <c r="AU123" s="28" t="str">
        <f t="shared" si="24"/>
        <v/>
      </c>
      <c r="AV123" s="140"/>
      <c r="AW123" s="28" t="str">
        <f t="shared" si="25"/>
        <v/>
      </c>
      <c r="AX123" s="111" t="str">
        <f t="shared" si="26"/>
        <v/>
      </c>
      <c r="AY123" s="111" t="str">
        <f t="shared" si="27"/>
        <v/>
      </c>
      <c r="AZ123" s="141"/>
      <c r="BA123" s="153" t="str">
        <f t="shared" si="28"/>
        <v>Débil</v>
      </c>
      <c r="BB123" s="22" t="str">
        <f>IFERROR(VLOOKUP((CONCATENATE(AY123,BA123)),Listados!$U$3:$V$11,2,FALSE),"")</f>
        <v/>
      </c>
      <c r="BC123" s="111">
        <f t="shared" si="29"/>
        <v>100</v>
      </c>
      <c r="BD123" s="717"/>
      <c r="BE123" s="761"/>
      <c r="BF123" s="717"/>
      <c r="BG123" s="717"/>
      <c r="BH123" s="713"/>
      <c r="BI123" s="715"/>
      <c r="BJ123" s="713"/>
      <c r="BK123" s="713"/>
      <c r="BL123" s="799"/>
      <c r="BM123" s="800"/>
      <c r="BN123" s="801"/>
      <c r="BO123" s="799"/>
      <c r="BP123" s="800"/>
      <c r="BQ123" s="801"/>
      <c r="BR123" s="799"/>
      <c r="BS123" s="800"/>
      <c r="BT123" s="801"/>
    </row>
    <row r="124" spans="1:72" ht="15" thickBot="1">
      <c r="A124" s="724"/>
      <c r="B124" s="777"/>
      <c r="C124" s="730"/>
      <c r="D124" s="736"/>
      <c r="E124" s="755"/>
      <c r="F124" s="769"/>
      <c r="G124" s="736"/>
      <c r="H124" s="764"/>
      <c r="I124" s="764"/>
      <c r="J124" s="764"/>
      <c r="K124" s="764"/>
      <c r="L124" s="764"/>
      <c r="M124" s="764"/>
      <c r="N124" s="764"/>
      <c r="O124" s="764"/>
      <c r="P124" s="764"/>
      <c r="Q124" s="764"/>
      <c r="R124" s="764"/>
      <c r="S124" s="764"/>
      <c r="T124" s="764"/>
      <c r="U124" s="764"/>
      <c r="V124" s="764"/>
      <c r="W124" s="764"/>
      <c r="X124" s="764"/>
      <c r="Y124" s="764"/>
      <c r="Z124" s="727"/>
      <c r="AA124" s="722"/>
      <c r="AB124" s="727"/>
      <c r="AC124" s="720"/>
      <c r="AD124" s="722" t="str">
        <f>+IF(OR(AB124=1,AB124&lt;=5),"Moderado",IF(OR(AB124=6,AB124&lt;=11),"Mayor","Catastrófico"))</f>
        <v>Moderado</v>
      </c>
      <c r="AE124" s="720"/>
      <c r="AF124" s="715"/>
      <c r="AG124" s="52" t="s">
        <v>467</v>
      </c>
      <c r="AH124" s="145"/>
      <c r="AI124" s="145"/>
      <c r="AJ124" s="145"/>
      <c r="AK124" s="28" t="str">
        <f t="shared" si="19"/>
        <v/>
      </c>
      <c r="AL124" s="145"/>
      <c r="AM124" s="28" t="str">
        <f t="shared" si="20"/>
        <v/>
      </c>
      <c r="AN124" s="140"/>
      <c r="AO124" s="28" t="str">
        <f t="shared" si="21"/>
        <v/>
      </c>
      <c r="AP124" s="140"/>
      <c r="AQ124" s="28" t="str">
        <f t="shared" si="22"/>
        <v/>
      </c>
      <c r="AR124" s="140"/>
      <c r="AS124" s="28" t="str">
        <f t="shared" si="23"/>
        <v/>
      </c>
      <c r="AT124" s="140"/>
      <c r="AU124" s="28" t="str">
        <f t="shared" si="24"/>
        <v/>
      </c>
      <c r="AV124" s="140"/>
      <c r="AW124" s="28" t="str">
        <f t="shared" si="25"/>
        <v/>
      </c>
      <c r="AX124" s="111" t="str">
        <f t="shared" si="26"/>
        <v/>
      </c>
      <c r="AY124" s="111" t="str">
        <f t="shared" si="27"/>
        <v/>
      </c>
      <c r="AZ124" s="141"/>
      <c r="BA124" s="153" t="str">
        <f t="shared" si="28"/>
        <v>Débil</v>
      </c>
      <c r="BB124" s="22" t="str">
        <f>IFERROR(VLOOKUP((CONCATENATE(AY124,BA124)),Listados!$U$3:$V$11,2,FALSE),"")</f>
        <v/>
      </c>
      <c r="BC124" s="111">
        <f t="shared" si="29"/>
        <v>100</v>
      </c>
      <c r="BD124" s="717"/>
      <c r="BE124" s="761"/>
      <c r="BF124" s="717"/>
      <c r="BG124" s="717"/>
      <c r="BH124" s="713"/>
      <c r="BI124" s="715"/>
      <c r="BJ124" s="713"/>
      <c r="BK124" s="713"/>
      <c r="BL124" s="799"/>
      <c r="BM124" s="800"/>
      <c r="BN124" s="801"/>
      <c r="BO124" s="799"/>
      <c r="BP124" s="800"/>
      <c r="BQ124" s="801"/>
      <c r="BR124" s="799"/>
      <c r="BS124" s="800"/>
      <c r="BT124" s="801"/>
    </row>
    <row r="125" spans="1:72" ht="15" thickBot="1">
      <c r="A125" s="724"/>
      <c r="B125" s="777"/>
      <c r="C125" s="730"/>
      <c r="D125" s="736"/>
      <c r="E125" s="756"/>
      <c r="F125" s="770"/>
      <c r="G125" s="736"/>
      <c r="H125" s="764"/>
      <c r="I125" s="764"/>
      <c r="J125" s="764"/>
      <c r="K125" s="764"/>
      <c r="L125" s="764"/>
      <c r="M125" s="764"/>
      <c r="N125" s="764"/>
      <c r="O125" s="764"/>
      <c r="P125" s="764"/>
      <c r="Q125" s="764"/>
      <c r="R125" s="764"/>
      <c r="S125" s="764"/>
      <c r="T125" s="764"/>
      <c r="U125" s="764"/>
      <c r="V125" s="764"/>
      <c r="W125" s="764"/>
      <c r="X125" s="764"/>
      <c r="Y125" s="764"/>
      <c r="Z125" s="727"/>
      <c r="AA125" s="722"/>
      <c r="AB125" s="727"/>
      <c r="AC125" s="720"/>
      <c r="AD125" s="722" t="str">
        <f>+IF(OR(AB125=1,AB125&lt;=5),"Moderado",IF(OR(AB125=6,AB125&lt;=11),"Mayor","Catastrófico"))</f>
        <v>Moderado</v>
      </c>
      <c r="AE125" s="720"/>
      <c r="AF125" s="715"/>
      <c r="AG125" s="52" t="s">
        <v>467</v>
      </c>
      <c r="AH125" s="145"/>
      <c r="AI125" s="145"/>
      <c r="AJ125" s="145"/>
      <c r="AK125" s="28" t="str">
        <f t="shared" si="19"/>
        <v/>
      </c>
      <c r="AL125" s="145"/>
      <c r="AM125" s="28" t="str">
        <f t="shared" si="20"/>
        <v/>
      </c>
      <c r="AN125" s="140"/>
      <c r="AO125" s="28" t="str">
        <f t="shared" si="21"/>
        <v/>
      </c>
      <c r="AP125" s="140"/>
      <c r="AQ125" s="28" t="str">
        <f t="shared" si="22"/>
        <v/>
      </c>
      <c r="AR125" s="140"/>
      <c r="AS125" s="28" t="str">
        <f t="shared" si="23"/>
        <v/>
      </c>
      <c r="AT125" s="140"/>
      <c r="AU125" s="28" t="str">
        <f t="shared" si="24"/>
        <v/>
      </c>
      <c r="AV125" s="140"/>
      <c r="AW125" s="28" t="str">
        <f t="shared" si="25"/>
        <v/>
      </c>
      <c r="AX125" s="111" t="str">
        <f t="shared" si="26"/>
        <v/>
      </c>
      <c r="AY125" s="111" t="str">
        <f t="shared" si="27"/>
        <v/>
      </c>
      <c r="AZ125" s="141"/>
      <c r="BA125" s="153" t="str">
        <f t="shared" si="28"/>
        <v>Débil</v>
      </c>
      <c r="BB125" s="22" t="str">
        <f>IFERROR(VLOOKUP((CONCATENATE(AY125,BA125)),Listados!$U$3:$V$11,2,FALSE),"")</f>
        <v/>
      </c>
      <c r="BC125" s="111">
        <f t="shared" si="29"/>
        <v>100</v>
      </c>
      <c r="BD125" s="717"/>
      <c r="BE125" s="761"/>
      <c r="BF125" s="717"/>
      <c r="BG125" s="717"/>
      <c r="BH125" s="713"/>
      <c r="BI125" s="715"/>
      <c r="BJ125" s="713"/>
      <c r="BK125" s="713"/>
      <c r="BL125" s="799"/>
      <c r="BM125" s="800"/>
      <c r="BN125" s="801"/>
      <c r="BO125" s="799"/>
      <c r="BP125" s="800"/>
      <c r="BQ125" s="801"/>
      <c r="BR125" s="799"/>
      <c r="BS125" s="800"/>
      <c r="BT125" s="801"/>
    </row>
    <row r="126" spans="1:72" ht="15" thickBot="1">
      <c r="A126" s="725"/>
      <c r="B126" s="777"/>
      <c r="C126" s="731"/>
      <c r="D126" s="781"/>
      <c r="E126" s="757"/>
      <c r="F126" s="771"/>
      <c r="G126" s="736"/>
      <c r="H126" s="764"/>
      <c r="I126" s="764"/>
      <c r="J126" s="764"/>
      <c r="K126" s="764"/>
      <c r="L126" s="764"/>
      <c r="M126" s="764"/>
      <c r="N126" s="764"/>
      <c r="O126" s="764"/>
      <c r="P126" s="764"/>
      <c r="Q126" s="764"/>
      <c r="R126" s="764"/>
      <c r="S126" s="764"/>
      <c r="T126" s="764"/>
      <c r="U126" s="764"/>
      <c r="V126" s="764"/>
      <c r="W126" s="764"/>
      <c r="X126" s="764"/>
      <c r="Y126" s="764"/>
      <c r="Z126" s="727"/>
      <c r="AA126" s="722"/>
      <c r="AB126" s="727"/>
      <c r="AC126" s="721"/>
      <c r="AD126" s="722" t="str">
        <f>+IF(OR(AB126=1,AB126&lt;=5),"Moderado",IF(OR(AB126=6,AB126&lt;=11),"Mayor","Catastrófico"))</f>
        <v>Moderado</v>
      </c>
      <c r="AE126" s="721"/>
      <c r="AF126" s="715"/>
      <c r="AG126" s="52" t="s">
        <v>467</v>
      </c>
      <c r="AH126" s="145"/>
      <c r="AI126" s="145"/>
      <c r="AJ126" s="145"/>
      <c r="AK126" s="28" t="str">
        <f t="shared" si="19"/>
        <v/>
      </c>
      <c r="AL126" s="145"/>
      <c r="AM126" s="28" t="str">
        <f t="shared" si="20"/>
        <v/>
      </c>
      <c r="AN126" s="140"/>
      <c r="AO126" s="28" t="str">
        <f t="shared" si="21"/>
        <v/>
      </c>
      <c r="AP126" s="140"/>
      <c r="AQ126" s="28" t="str">
        <f t="shared" si="22"/>
        <v/>
      </c>
      <c r="AR126" s="140"/>
      <c r="AS126" s="28" t="str">
        <f t="shared" si="23"/>
        <v/>
      </c>
      <c r="AT126" s="140"/>
      <c r="AU126" s="28" t="str">
        <f t="shared" si="24"/>
        <v/>
      </c>
      <c r="AV126" s="140"/>
      <c r="AW126" s="28" t="str">
        <f t="shared" si="25"/>
        <v/>
      </c>
      <c r="AX126" s="111" t="str">
        <f t="shared" si="26"/>
        <v/>
      </c>
      <c r="AY126" s="111" t="str">
        <f t="shared" si="27"/>
        <v/>
      </c>
      <c r="AZ126" s="141"/>
      <c r="BA126" s="153" t="str">
        <f t="shared" si="28"/>
        <v>Débil</v>
      </c>
      <c r="BB126" s="22" t="str">
        <f>IFERROR(VLOOKUP((CONCATENATE(AY126,BA126)),Listados!$U$3:$V$11,2,FALSE),"")</f>
        <v/>
      </c>
      <c r="BC126" s="111">
        <f t="shared" si="29"/>
        <v>100</v>
      </c>
      <c r="BD126" s="718"/>
      <c r="BE126" s="761"/>
      <c r="BF126" s="718"/>
      <c r="BG126" s="718"/>
      <c r="BH126" s="714"/>
      <c r="BI126" s="715"/>
      <c r="BJ126" s="714"/>
      <c r="BK126" s="714"/>
      <c r="BL126" s="799"/>
      <c r="BM126" s="800"/>
      <c r="BN126" s="801"/>
      <c r="BO126" s="799"/>
      <c r="BP126" s="800"/>
      <c r="BQ126" s="801"/>
      <c r="BR126" s="799"/>
      <c r="BS126" s="800"/>
      <c r="BT126" s="801"/>
    </row>
    <row r="127" spans="1:72" ht="15" thickBot="1">
      <c r="A127" s="723">
        <v>21</v>
      </c>
      <c r="B127" s="776"/>
      <c r="C127" s="729" t="str">
        <f>IFERROR(VLOOKUP(B127,Listados!B$3:C$20,2,FALSE),"")</f>
        <v/>
      </c>
      <c r="D127" s="735" t="s">
        <v>584</v>
      </c>
      <c r="E127" s="105"/>
      <c r="F127" s="18"/>
      <c r="G127" s="735"/>
      <c r="H127" s="763"/>
      <c r="I127" s="763"/>
      <c r="J127" s="763"/>
      <c r="K127" s="763"/>
      <c r="L127" s="763"/>
      <c r="M127" s="763"/>
      <c r="N127" s="763"/>
      <c r="O127" s="763"/>
      <c r="P127" s="763"/>
      <c r="Q127" s="763"/>
      <c r="R127" s="763"/>
      <c r="S127" s="763"/>
      <c r="T127" s="763"/>
      <c r="U127" s="763"/>
      <c r="V127" s="763"/>
      <c r="W127" s="763"/>
      <c r="X127" s="763"/>
      <c r="Y127" s="763"/>
      <c r="Z127" s="762"/>
      <c r="AA127" s="721">
        <f>COUNTIF(H127:Z132, "SI")</f>
        <v>0</v>
      </c>
      <c r="AB127" s="762"/>
      <c r="AC127" s="719" t="e">
        <f>+VLOOKUP(AB127,Listados!$K$8:$L$12,2,0)</f>
        <v>#N/A</v>
      </c>
      <c r="AD127" s="721" t="str">
        <f>+IF(OR(AA127=1,AA127&lt;=5),"Moderado",IF(OR(AA127=6,AA127&lt;=11),"Mayor","Catastrófico"))</f>
        <v>Moderado</v>
      </c>
      <c r="AE127" s="719" t="e">
        <f>+VLOOKUP(AD127,Listados!K133:L137,2,0)</f>
        <v>#N/A</v>
      </c>
      <c r="AF127" s="714" t="str">
        <f>IF(AND(AB127&lt;&gt;"",AD127&lt;&gt;""),VLOOKUP(AB127&amp;AD127,Listados!$M$3:$N$27,2,FALSE),"")</f>
        <v/>
      </c>
      <c r="AG127" s="52" t="s">
        <v>467</v>
      </c>
      <c r="AH127" s="145"/>
      <c r="AI127" s="145"/>
      <c r="AJ127" s="145"/>
      <c r="AK127" s="28" t="str">
        <f t="shared" si="19"/>
        <v/>
      </c>
      <c r="AL127" s="145"/>
      <c r="AM127" s="28" t="str">
        <f t="shared" si="20"/>
        <v/>
      </c>
      <c r="AN127" s="140"/>
      <c r="AO127" s="28" t="str">
        <f t="shared" si="21"/>
        <v/>
      </c>
      <c r="AP127" s="140"/>
      <c r="AQ127" s="28" t="str">
        <f t="shared" si="22"/>
        <v/>
      </c>
      <c r="AR127" s="140"/>
      <c r="AS127" s="28" t="str">
        <f t="shared" si="23"/>
        <v/>
      </c>
      <c r="AT127" s="140"/>
      <c r="AU127" s="28" t="str">
        <f t="shared" si="24"/>
        <v/>
      </c>
      <c r="AV127" s="140"/>
      <c r="AW127" s="28" t="str">
        <f t="shared" si="25"/>
        <v/>
      </c>
      <c r="AX127" s="111" t="str">
        <f t="shared" si="26"/>
        <v/>
      </c>
      <c r="AY127" s="111" t="str">
        <f t="shared" si="27"/>
        <v/>
      </c>
      <c r="AZ127" s="141"/>
      <c r="BA127" s="153" t="str">
        <f t="shared" si="28"/>
        <v>Débil</v>
      </c>
      <c r="BB127" s="22" t="str">
        <f>IFERROR(VLOOKUP((CONCATENATE(AY127,BA127)),Listados!$U$3:$V$11,2,FALSE),"")</f>
        <v/>
      </c>
      <c r="BC127" s="111">
        <f t="shared" si="29"/>
        <v>100</v>
      </c>
      <c r="BD127" s="716">
        <f>AVERAGE(BC127:BC132)</f>
        <v>100</v>
      </c>
      <c r="BE127" s="718" t="str">
        <f>IF(BD127&lt;=50, "Débil", IF(BD127&lt;=99,"Moderado","Fuerte"))</f>
        <v>Fuerte</v>
      </c>
      <c r="BF127" s="716">
        <f>+IF(BE127="Fuerte",2,IF(BE127="Moderado",1,0))</f>
        <v>2</v>
      </c>
      <c r="BG127" s="716" t="e">
        <f>+AC127-BF127</f>
        <v>#N/A</v>
      </c>
      <c r="BH127" s="712" t="e">
        <f>+VLOOKUP(BG127,Listados!$J$18:$K$24,2,TRUE)</f>
        <v>#N/A</v>
      </c>
      <c r="BI127" s="714" t="str">
        <f>IF(ISBLANK(AD127),"",AD127)</f>
        <v>Moderado</v>
      </c>
      <c r="BJ127" s="712" t="e">
        <f>IF(AND(BH127&lt;&gt;"",BI127&lt;&gt;""),VLOOKUP(BH127&amp;BI127,Listados!$M$3:$N$27,2,FALSE),"")</f>
        <v>#N/A</v>
      </c>
      <c r="BK127" s="712" t="e">
        <f>+VLOOKUP(BJ127,Listados!$P$3:$Q$6,2,FALSE)</f>
        <v>#N/A</v>
      </c>
      <c r="BL127" s="799"/>
      <c r="BM127" s="800"/>
      <c r="BN127" s="801"/>
      <c r="BO127" s="799"/>
      <c r="BP127" s="800"/>
      <c r="BQ127" s="801"/>
      <c r="BR127" s="799"/>
      <c r="BS127" s="800"/>
      <c r="BT127" s="801"/>
    </row>
    <row r="128" spans="1:72" ht="15" thickBot="1">
      <c r="A128" s="724"/>
      <c r="B128" s="777"/>
      <c r="C128" s="730"/>
      <c r="D128" s="736"/>
      <c r="E128" s="161"/>
      <c r="F128" s="150"/>
      <c r="G128" s="736"/>
      <c r="H128" s="764"/>
      <c r="I128" s="764"/>
      <c r="J128" s="764"/>
      <c r="K128" s="764"/>
      <c r="L128" s="764"/>
      <c r="M128" s="764"/>
      <c r="N128" s="764"/>
      <c r="O128" s="764"/>
      <c r="P128" s="764"/>
      <c r="Q128" s="764"/>
      <c r="R128" s="764"/>
      <c r="S128" s="764"/>
      <c r="T128" s="764"/>
      <c r="U128" s="764"/>
      <c r="V128" s="764"/>
      <c r="W128" s="764"/>
      <c r="X128" s="764"/>
      <c r="Y128" s="764"/>
      <c r="Z128" s="727"/>
      <c r="AA128" s="722"/>
      <c r="AB128" s="727"/>
      <c r="AC128" s="720"/>
      <c r="AD128" s="722" t="str">
        <f>+IF(OR(AB128=1,AB128&lt;=5),"Moderado",IF(OR(AB128=6,AB128&lt;=11),"Mayor","Catastrófico"))</f>
        <v>Moderado</v>
      </c>
      <c r="AE128" s="720"/>
      <c r="AF128" s="715"/>
      <c r="AG128" s="52" t="s">
        <v>467</v>
      </c>
      <c r="AH128" s="145"/>
      <c r="AI128" s="145"/>
      <c r="AJ128" s="145"/>
      <c r="AK128" s="28" t="str">
        <f t="shared" si="19"/>
        <v/>
      </c>
      <c r="AL128" s="145"/>
      <c r="AM128" s="28" t="str">
        <f t="shared" si="20"/>
        <v/>
      </c>
      <c r="AN128" s="140"/>
      <c r="AO128" s="28" t="str">
        <f t="shared" si="21"/>
        <v/>
      </c>
      <c r="AP128" s="140"/>
      <c r="AQ128" s="28" t="str">
        <f t="shared" si="22"/>
        <v/>
      </c>
      <c r="AR128" s="140"/>
      <c r="AS128" s="28" t="str">
        <f t="shared" si="23"/>
        <v/>
      </c>
      <c r="AT128" s="140"/>
      <c r="AU128" s="28" t="str">
        <f t="shared" si="24"/>
        <v/>
      </c>
      <c r="AV128" s="140"/>
      <c r="AW128" s="28" t="str">
        <f t="shared" si="25"/>
        <v/>
      </c>
      <c r="AX128" s="111" t="str">
        <f t="shared" si="26"/>
        <v/>
      </c>
      <c r="AY128" s="111" t="str">
        <f t="shared" si="27"/>
        <v/>
      </c>
      <c r="AZ128" s="141"/>
      <c r="BA128" s="153" t="str">
        <f t="shared" si="28"/>
        <v>Débil</v>
      </c>
      <c r="BB128" s="22" t="str">
        <f>IFERROR(VLOOKUP((CONCATENATE(AY128,BA128)),Listados!$U$3:$V$11,2,FALSE),"")</f>
        <v/>
      </c>
      <c r="BC128" s="111">
        <f t="shared" si="29"/>
        <v>100</v>
      </c>
      <c r="BD128" s="717"/>
      <c r="BE128" s="761"/>
      <c r="BF128" s="717"/>
      <c r="BG128" s="717"/>
      <c r="BH128" s="713"/>
      <c r="BI128" s="715"/>
      <c r="BJ128" s="713"/>
      <c r="BK128" s="713"/>
      <c r="BL128" s="799"/>
      <c r="BM128" s="800"/>
      <c r="BN128" s="801"/>
      <c r="BO128" s="799"/>
      <c r="BP128" s="800"/>
      <c r="BQ128" s="801"/>
      <c r="BR128" s="799"/>
      <c r="BS128" s="800"/>
      <c r="BT128" s="801"/>
    </row>
    <row r="129" spans="1:72" ht="15" thickBot="1">
      <c r="A129" s="724"/>
      <c r="B129" s="777"/>
      <c r="C129" s="730"/>
      <c r="D129" s="736"/>
      <c r="E129" s="161"/>
      <c r="F129" s="150"/>
      <c r="G129" s="736"/>
      <c r="H129" s="764"/>
      <c r="I129" s="764"/>
      <c r="J129" s="764"/>
      <c r="K129" s="764"/>
      <c r="L129" s="764"/>
      <c r="M129" s="764"/>
      <c r="N129" s="764"/>
      <c r="O129" s="764"/>
      <c r="P129" s="764"/>
      <c r="Q129" s="764"/>
      <c r="R129" s="764"/>
      <c r="S129" s="764"/>
      <c r="T129" s="764"/>
      <c r="U129" s="764"/>
      <c r="V129" s="764"/>
      <c r="W129" s="764"/>
      <c r="X129" s="764"/>
      <c r="Y129" s="764"/>
      <c r="Z129" s="727"/>
      <c r="AA129" s="722"/>
      <c r="AB129" s="727"/>
      <c r="AC129" s="720"/>
      <c r="AD129" s="722" t="str">
        <f>+IF(OR(AB129=1,AB129&lt;=5),"Moderado",IF(OR(AB129=6,AB129&lt;=11),"Mayor","Catastrófico"))</f>
        <v>Moderado</v>
      </c>
      <c r="AE129" s="720"/>
      <c r="AF129" s="715"/>
      <c r="AG129" s="52" t="s">
        <v>467</v>
      </c>
      <c r="AH129" s="145"/>
      <c r="AI129" s="145"/>
      <c r="AJ129" s="145"/>
      <c r="AK129" s="28" t="str">
        <f t="shared" si="19"/>
        <v/>
      </c>
      <c r="AL129" s="145"/>
      <c r="AM129" s="28" t="str">
        <f t="shared" si="20"/>
        <v/>
      </c>
      <c r="AN129" s="140"/>
      <c r="AO129" s="28" t="str">
        <f t="shared" si="21"/>
        <v/>
      </c>
      <c r="AP129" s="140"/>
      <c r="AQ129" s="28" t="str">
        <f t="shared" si="22"/>
        <v/>
      </c>
      <c r="AR129" s="140"/>
      <c r="AS129" s="28" t="str">
        <f t="shared" si="23"/>
        <v/>
      </c>
      <c r="AT129" s="140"/>
      <c r="AU129" s="28" t="str">
        <f t="shared" si="24"/>
        <v/>
      </c>
      <c r="AV129" s="140"/>
      <c r="AW129" s="28" t="str">
        <f t="shared" si="25"/>
        <v/>
      </c>
      <c r="AX129" s="111" t="str">
        <f t="shared" si="26"/>
        <v/>
      </c>
      <c r="AY129" s="111" t="str">
        <f t="shared" si="27"/>
        <v/>
      </c>
      <c r="AZ129" s="141"/>
      <c r="BA129" s="153" t="str">
        <f t="shared" si="28"/>
        <v>Débil</v>
      </c>
      <c r="BB129" s="22" t="str">
        <f>IFERROR(VLOOKUP((CONCATENATE(AY129,BA129)),Listados!$U$3:$V$11,2,FALSE),"")</f>
        <v/>
      </c>
      <c r="BC129" s="111">
        <f t="shared" si="29"/>
        <v>100</v>
      </c>
      <c r="BD129" s="717"/>
      <c r="BE129" s="761"/>
      <c r="BF129" s="717"/>
      <c r="BG129" s="717"/>
      <c r="BH129" s="713"/>
      <c r="BI129" s="715"/>
      <c r="BJ129" s="713"/>
      <c r="BK129" s="713"/>
      <c r="BL129" s="799"/>
      <c r="BM129" s="800"/>
      <c r="BN129" s="801"/>
      <c r="BO129" s="799"/>
      <c r="BP129" s="800"/>
      <c r="BQ129" s="801"/>
      <c r="BR129" s="799"/>
      <c r="BS129" s="800"/>
      <c r="BT129" s="801"/>
    </row>
    <row r="130" spans="1:72" ht="15" thickBot="1">
      <c r="A130" s="724"/>
      <c r="B130" s="777"/>
      <c r="C130" s="730"/>
      <c r="D130" s="736"/>
      <c r="E130" s="755"/>
      <c r="F130" s="769"/>
      <c r="G130" s="736"/>
      <c r="H130" s="764"/>
      <c r="I130" s="764"/>
      <c r="J130" s="764"/>
      <c r="K130" s="764"/>
      <c r="L130" s="764"/>
      <c r="M130" s="764"/>
      <c r="N130" s="764"/>
      <c r="O130" s="764"/>
      <c r="P130" s="764"/>
      <c r="Q130" s="764"/>
      <c r="R130" s="764"/>
      <c r="S130" s="764"/>
      <c r="T130" s="764"/>
      <c r="U130" s="764"/>
      <c r="V130" s="764"/>
      <c r="W130" s="764"/>
      <c r="X130" s="764"/>
      <c r="Y130" s="764"/>
      <c r="Z130" s="727"/>
      <c r="AA130" s="722"/>
      <c r="AB130" s="727"/>
      <c r="AC130" s="720"/>
      <c r="AD130" s="722" t="str">
        <f>+IF(OR(AB130=1,AB130&lt;=5),"Moderado",IF(OR(AB130=6,AB130&lt;=11),"Mayor","Catastrófico"))</f>
        <v>Moderado</v>
      </c>
      <c r="AE130" s="720"/>
      <c r="AF130" s="715"/>
      <c r="AG130" s="52" t="s">
        <v>467</v>
      </c>
      <c r="AH130" s="145"/>
      <c r="AI130" s="145"/>
      <c r="AJ130" s="145"/>
      <c r="AK130" s="28" t="str">
        <f t="shared" si="19"/>
        <v/>
      </c>
      <c r="AL130" s="145"/>
      <c r="AM130" s="28" t="str">
        <f t="shared" si="20"/>
        <v/>
      </c>
      <c r="AN130" s="140"/>
      <c r="AO130" s="28" t="str">
        <f t="shared" si="21"/>
        <v/>
      </c>
      <c r="AP130" s="140"/>
      <c r="AQ130" s="28" t="str">
        <f t="shared" si="22"/>
        <v/>
      </c>
      <c r="AR130" s="140"/>
      <c r="AS130" s="28" t="str">
        <f t="shared" si="23"/>
        <v/>
      </c>
      <c r="AT130" s="140"/>
      <c r="AU130" s="28" t="str">
        <f t="shared" si="24"/>
        <v/>
      </c>
      <c r="AV130" s="140"/>
      <c r="AW130" s="28" t="str">
        <f t="shared" si="25"/>
        <v/>
      </c>
      <c r="AX130" s="111" t="str">
        <f t="shared" si="26"/>
        <v/>
      </c>
      <c r="AY130" s="111" t="str">
        <f t="shared" si="27"/>
        <v/>
      </c>
      <c r="AZ130" s="141"/>
      <c r="BA130" s="153" t="str">
        <f t="shared" si="28"/>
        <v>Débil</v>
      </c>
      <c r="BB130" s="22" t="str">
        <f>IFERROR(VLOOKUP((CONCATENATE(AY130,BA130)),Listados!$U$3:$V$11,2,FALSE),"")</f>
        <v/>
      </c>
      <c r="BC130" s="111">
        <f t="shared" si="29"/>
        <v>100</v>
      </c>
      <c r="BD130" s="717"/>
      <c r="BE130" s="761"/>
      <c r="BF130" s="717"/>
      <c r="BG130" s="717"/>
      <c r="BH130" s="713"/>
      <c r="BI130" s="715"/>
      <c r="BJ130" s="713"/>
      <c r="BK130" s="713"/>
      <c r="BL130" s="799"/>
      <c r="BM130" s="800"/>
      <c r="BN130" s="801"/>
      <c r="BO130" s="799"/>
      <c r="BP130" s="800"/>
      <c r="BQ130" s="801"/>
      <c r="BR130" s="799"/>
      <c r="BS130" s="800"/>
      <c r="BT130" s="801"/>
    </row>
    <row r="131" spans="1:72" ht="15" thickBot="1">
      <c r="A131" s="724"/>
      <c r="B131" s="777"/>
      <c r="C131" s="730"/>
      <c r="D131" s="736"/>
      <c r="E131" s="756"/>
      <c r="F131" s="770"/>
      <c r="G131" s="736"/>
      <c r="H131" s="764"/>
      <c r="I131" s="764"/>
      <c r="J131" s="764"/>
      <c r="K131" s="764"/>
      <c r="L131" s="764"/>
      <c r="M131" s="764"/>
      <c r="N131" s="764"/>
      <c r="O131" s="764"/>
      <c r="P131" s="764"/>
      <c r="Q131" s="764"/>
      <c r="R131" s="764"/>
      <c r="S131" s="764"/>
      <c r="T131" s="764"/>
      <c r="U131" s="764"/>
      <c r="V131" s="764"/>
      <c r="W131" s="764"/>
      <c r="X131" s="764"/>
      <c r="Y131" s="764"/>
      <c r="Z131" s="727"/>
      <c r="AA131" s="722"/>
      <c r="AB131" s="727"/>
      <c r="AC131" s="720"/>
      <c r="AD131" s="722" t="str">
        <f>+IF(OR(AB131=1,AB131&lt;=5),"Moderado",IF(OR(AB131=6,AB131&lt;=11),"Mayor","Catastrófico"))</f>
        <v>Moderado</v>
      </c>
      <c r="AE131" s="720"/>
      <c r="AF131" s="715"/>
      <c r="AG131" s="52" t="s">
        <v>467</v>
      </c>
      <c r="AH131" s="145"/>
      <c r="AI131" s="145"/>
      <c r="AJ131" s="145"/>
      <c r="AK131" s="28" t="str">
        <f t="shared" si="19"/>
        <v/>
      </c>
      <c r="AL131" s="145"/>
      <c r="AM131" s="28" t="str">
        <f t="shared" si="20"/>
        <v/>
      </c>
      <c r="AN131" s="140"/>
      <c r="AO131" s="28" t="str">
        <f t="shared" si="21"/>
        <v/>
      </c>
      <c r="AP131" s="140"/>
      <c r="AQ131" s="28" t="str">
        <f t="shared" si="22"/>
        <v/>
      </c>
      <c r="AR131" s="140"/>
      <c r="AS131" s="28" t="str">
        <f t="shared" si="23"/>
        <v/>
      </c>
      <c r="AT131" s="140"/>
      <c r="AU131" s="28" t="str">
        <f t="shared" si="24"/>
        <v/>
      </c>
      <c r="AV131" s="140"/>
      <c r="AW131" s="28" t="str">
        <f t="shared" si="25"/>
        <v/>
      </c>
      <c r="AX131" s="111" t="str">
        <f t="shared" si="26"/>
        <v/>
      </c>
      <c r="AY131" s="111" t="str">
        <f t="shared" si="27"/>
        <v/>
      </c>
      <c r="AZ131" s="141"/>
      <c r="BA131" s="153" t="str">
        <f t="shared" si="28"/>
        <v>Débil</v>
      </c>
      <c r="BB131" s="22" t="str">
        <f>IFERROR(VLOOKUP((CONCATENATE(AY131,BA131)),Listados!$U$3:$V$11,2,FALSE),"")</f>
        <v/>
      </c>
      <c r="BC131" s="111">
        <f t="shared" si="29"/>
        <v>100</v>
      </c>
      <c r="BD131" s="717"/>
      <c r="BE131" s="761"/>
      <c r="BF131" s="717"/>
      <c r="BG131" s="717"/>
      <c r="BH131" s="713"/>
      <c r="BI131" s="715"/>
      <c r="BJ131" s="713"/>
      <c r="BK131" s="713"/>
      <c r="BL131" s="799"/>
      <c r="BM131" s="800"/>
      <c r="BN131" s="801"/>
      <c r="BO131" s="799"/>
      <c r="BP131" s="800"/>
      <c r="BQ131" s="801"/>
      <c r="BR131" s="799"/>
      <c r="BS131" s="800"/>
      <c r="BT131" s="801"/>
    </row>
    <row r="132" spans="1:72" ht="15" thickBot="1">
      <c r="A132" s="725"/>
      <c r="B132" s="777"/>
      <c r="C132" s="731"/>
      <c r="D132" s="781"/>
      <c r="E132" s="757"/>
      <c r="F132" s="771"/>
      <c r="G132" s="736"/>
      <c r="H132" s="764"/>
      <c r="I132" s="764"/>
      <c r="J132" s="764"/>
      <c r="K132" s="764"/>
      <c r="L132" s="764"/>
      <c r="M132" s="764"/>
      <c r="N132" s="764"/>
      <c r="O132" s="764"/>
      <c r="P132" s="764"/>
      <c r="Q132" s="764"/>
      <c r="R132" s="764"/>
      <c r="S132" s="764"/>
      <c r="T132" s="764"/>
      <c r="U132" s="764"/>
      <c r="V132" s="764"/>
      <c r="W132" s="764"/>
      <c r="X132" s="764"/>
      <c r="Y132" s="764"/>
      <c r="Z132" s="727"/>
      <c r="AA132" s="722"/>
      <c r="AB132" s="727"/>
      <c r="AC132" s="721"/>
      <c r="AD132" s="722" t="str">
        <f>+IF(OR(AB132=1,AB132&lt;=5),"Moderado",IF(OR(AB132=6,AB132&lt;=11),"Mayor","Catastrófico"))</f>
        <v>Moderado</v>
      </c>
      <c r="AE132" s="721"/>
      <c r="AF132" s="715"/>
      <c r="AG132" s="52" t="s">
        <v>467</v>
      </c>
      <c r="AH132" s="145"/>
      <c r="AI132" s="145"/>
      <c r="AJ132" s="145"/>
      <c r="AK132" s="28" t="str">
        <f t="shared" si="19"/>
        <v/>
      </c>
      <c r="AL132" s="145"/>
      <c r="AM132" s="28" t="str">
        <f t="shared" si="20"/>
        <v/>
      </c>
      <c r="AN132" s="140"/>
      <c r="AO132" s="28" t="str">
        <f t="shared" si="21"/>
        <v/>
      </c>
      <c r="AP132" s="140"/>
      <c r="AQ132" s="28" t="str">
        <f t="shared" si="22"/>
        <v/>
      </c>
      <c r="AR132" s="140"/>
      <c r="AS132" s="28" t="str">
        <f t="shared" si="23"/>
        <v/>
      </c>
      <c r="AT132" s="140"/>
      <c r="AU132" s="28" t="str">
        <f t="shared" si="24"/>
        <v/>
      </c>
      <c r="AV132" s="140"/>
      <c r="AW132" s="28" t="str">
        <f t="shared" si="25"/>
        <v/>
      </c>
      <c r="AX132" s="111" t="str">
        <f t="shared" si="26"/>
        <v/>
      </c>
      <c r="AY132" s="111" t="str">
        <f t="shared" si="27"/>
        <v/>
      </c>
      <c r="AZ132" s="141"/>
      <c r="BA132" s="153" t="str">
        <f t="shared" si="28"/>
        <v>Débil</v>
      </c>
      <c r="BB132" s="22" t="str">
        <f>IFERROR(VLOOKUP((CONCATENATE(AY132,BA132)),Listados!$U$3:$V$11,2,FALSE),"")</f>
        <v/>
      </c>
      <c r="BC132" s="111">
        <f t="shared" si="29"/>
        <v>100</v>
      </c>
      <c r="BD132" s="718"/>
      <c r="BE132" s="761"/>
      <c r="BF132" s="718"/>
      <c r="BG132" s="718"/>
      <c r="BH132" s="714"/>
      <c r="BI132" s="715"/>
      <c r="BJ132" s="714"/>
      <c r="BK132" s="714"/>
      <c r="BL132" s="799"/>
      <c r="BM132" s="800"/>
      <c r="BN132" s="801"/>
      <c r="BO132" s="799"/>
      <c r="BP132" s="800"/>
      <c r="BQ132" s="801"/>
      <c r="BR132" s="799"/>
      <c r="BS132" s="800"/>
      <c r="BT132" s="801"/>
    </row>
    <row r="133" spans="1:72" ht="15" thickBot="1">
      <c r="A133" s="723">
        <v>22</v>
      </c>
      <c r="B133" s="776"/>
      <c r="C133" s="729" t="str">
        <f>IFERROR(VLOOKUP(B133,Listados!B$3:C$20,2,FALSE),"")</f>
        <v/>
      </c>
      <c r="D133" s="735" t="s">
        <v>584</v>
      </c>
      <c r="E133" s="105"/>
      <c r="F133" s="18"/>
      <c r="G133" s="735"/>
      <c r="H133" s="763"/>
      <c r="I133" s="763"/>
      <c r="J133" s="763"/>
      <c r="K133" s="763"/>
      <c r="L133" s="763"/>
      <c r="M133" s="763"/>
      <c r="N133" s="763"/>
      <c r="O133" s="763"/>
      <c r="P133" s="763"/>
      <c r="Q133" s="763"/>
      <c r="R133" s="763"/>
      <c r="S133" s="763"/>
      <c r="T133" s="763"/>
      <c r="U133" s="763"/>
      <c r="V133" s="763"/>
      <c r="W133" s="763"/>
      <c r="X133" s="763"/>
      <c r="Y133" s="763"/>
      <c r="Z133" s="762"/>
      <c r="AA133" s="721">
        <f>COUNTIF(H133:Z138, "SI")</f>
        <v>0</v>
      </c>
      <c r="AB133" s="762"/>
      <c r="AC133" s="719" t="e">
        <f>+VLOOKUP(AB133,Listados!$K$8:$L$12,2,0)</f>
        <v>#N/A</v>
      </c>
      <c r="AD133" s="721" t="str">
        <f>+IF(OR(AA133=1,AA133&lt;=5),"Moderado",IF(OR(AA133=6,AA133&lt;=11),"Mayor","Catastrófico"))</f>
        <v>Moderado</v>
      </c>
      <c r="AE133" s="719" t="e">
        <f>+VLOOKUP(AD133,Listados!K139:L143,2,0)</f>
        <v>#N/A</v>
      </c>
      <c r="AF133" s="714" t="str">
        <f>IF(AND(AB133&lt;&gt;"",AD133&lt;&gt;""),VLOOKUP(AB133&amp;AD133,Listados!$M$3:$N$27,2,FALSE),"")</f>
        <v/>
      </c>
      <c r="AG133" s="52" t="s">
        <v>467</v>
      </c>
      <c r="AH133" s="145"/>
      <c r="AI133" s="145"/>
      <c r="AJ133" s="145"/>
      <c r="AK133" s="28" t="str">
        <f t="shared" si="19"/>
        <v/>
      </c>
      <c r="AL133" s="145"/>
      <c r="AM133" s="28" t="str">
        <f t="shared" si="20"/>
        <v/>
      </c>
      <c r="AN133" s="140"/>
      <c r="AO133" s="28" t="str">
        <f t="shared" si="21"/>
        <v/>
      </c>
      <c r="AP133" s="140"/>
      <c r="AQ133" s="28" t="str">
        <f t="shared" si="22"/>
        <v/>
      </c>
      <c r="AR133" s="140"/>
      <c r="AS133" s="28" t="str">
        <f t="shared" si="23"/>
        <v/>
      </c>
      <c r="AT133" s="140"/>
      <c r="AU133" s="28" t="str">
        <f t="shared" si="24"/>
        <v/>
      </c>
      <c r="AV133" s="140"/>
      <c r="AW133" s="28" t="str">
        <f t="shared" si="25"/>
        <v/>
      </c>
      <c r="AX133" s="111" t="str">
        <f t="shared" si="26"/>
        <v/>
      </c>
      <c r="AY133" s="111" t="str">
        <f t="shared" si="27"/>
        <v/>
      </c>
      <c r="AZ133" s="141"/>
      <c r="BA133" s="153" t="str">
        <f t="shared" si="28"/>
        <v>Débil</v>
      </c>
      <c r="BB133" s="22" t="str">
        <f>IFERROR(VLOOKUP((CONCATENATE(AY133,BA133)),Listados!$U$3:$V$11,2,FALSE),"")</f>
        <v/>
      </c>
      <c r="BC133" s="111">
        <f t="shared" si="29"/>
        <v>100</v>
      </c>
      <c r="BD133" s="716">
        <f>AVERAGE(BC133:BC138)</f>
        <v>100</v>
      </c>
      <c r="BE133" s="718" t="str">
        <f>IF(BD133&lt;=50, "Débil", IF(BD133&lt;=99,"Moderado","Fuerte"))</f>
        <v>Fuerte</v>
      </c>
      <c r="BF133" s="716">
        <f>+IF(BE133="Fuerte",2,IF(BE133="Moderado",1,0))</f>
        <v>2</v>
      </c>
      <c r="BG133" s="716" t="e">
        <f>+AC133-BF133</f>
        <v>#N/A</v>
      </c>
      <c r="BH133" s="712" t="e">
        <f>+VLOOKUP(BG133,Listados!$J$18:$K$24,2,TRUE)</f>
        <v>#N/A</v>
      </c>
      <c r="BI133" s="714" t="str">
        <f>IF(ISBLANK(AD133),"",AD133)</f>
        <v>Moderado</v>
      </c>
      <c r="BJ133" s="712" t="e">
        <f>IF(AND(BH133&lt;&gt;"",BI133&lt;&gt;""),VLOOKUP(BH133&amp;BI133,Listados!$M$3:$N$27,2,FALSE),"")</f>
        <v>#N/A</v>
      </c>
      <c r="BK133" s="712" t="e">
        <f>+VLOOKUP(BJ133,Listados!$P$3:$Q$6,2,FALSE)</f>
        <v>#N/A</v>
      </c>
      <c r="BL133" s="799"/>
      <c r="BM133" s="800"/>
      <c r="BN133" s="801"/>
      <c r="BO133" s="799"/>
      <c r="BP133" s="800"/>
      <c r="BQ133" s="801"/>
      <c r="BR133" s="799"/>
      <c r="BS133" s="800"/>
      <c r="BT133" s="801"/>
    </row>
    <row r="134" spans="1:72" ht="15" thickBot="1">
      <c r="A134" s="724"/>
      <c r="B134" s="777"/>
      <c r="C134" s="730"/>
      <c r="D134" s="736"/>
      <c r="E134" s="161"/>
      <c r="F134" s="150"/>
      <c r="G134" s="736"/>
      <c r="H134" s="764"/>
      <c r="I134" s="764"/>
      <c r="J134" s="764"/>
      <c r="K134" s="764"/>
      <c r="L134" s="764"/>
      <c r="M134" s="764"/>
      <c r="N134" s="764"/>
      <c r="O134" s="764"/>
      <c r="P134" s="764"/>
      <c r="Q134" s="764"/>
      <c r="R134" s="764"/>
      <c r="S134" s="764"/>
      <c r="T134" s="764"/>
      <c r="U134" s="764"/>
      <c r="V134" s="764"/>
      <c r="W134" s="764"/>
      <c r="X134" s="764"/>
      <c r="Y134" s="764"/>
      <c r="Z134" s="727"/>
      <c r="AA134" s="722"/>
      <c r="AB134" s="727"/>
      <c r="AC134" s="720"/>
      <c r="AD134" s="722" t="str">
        <f>+IF(OR(AB134=1,AB134&lt;=5),"Moderado",IF(OR(AB134=6,AB134&lt;=11),"Mayor","Catastrófico"))</f>
        <v>Moderado</v>
      </c>
      <c r="AE134" s="720"/>
      <c r="AF134" s="715"/>
      <c r="AG134" s="52" t="s">
        <v>467</v>
      </c>
      <c r="AH134" s="145"/>
      <c r="AI134" s="145"/>
      <c r="AJ134" s="145"/>
      <c r="AK134" s="28" t="str">
        <f t="shared" si="19"/>
        <v/>
      </c>
      <c r="AL134" s="145"/>
      <c r="AM134" s="28" t="str">
        <f t="shared" si="20"/>
        <v/>
      </c>
      <c r="AN134" s="140"/>
      <c r="AO134" s="28" t="str">
        <f t="shared" si="21"/>
        <v/>
      </c>
      <c r="AP134" s="140"/>
      <c r="AQ134" s="28" t="str">
        <f t="shared" si="22"/>
        <v/>
      </c>
      <c r="AR134" s="140"/>
      <c r="AS134" s="28" t="str">
        <f t="shared" si="23"/>
        <v/>
      </c>
      <c r="AT134" s="140"/>
      <c r="AU134" s="28" t="str">
        <f t="shared" si="24"/>
        <v/>
      </c>
      <c r="AV134" s="140"/>
      <c r="AW134" s="28" t="str">
        <f t="shared" si="25"/>
        <v/>
      </c>
      <c r="AX134" s="111" t="str">
        <f t="shared" si="26"/>
        <v/>
      </c>
      <c r="AY134" s="111" t="str">
        <f t="shared" si="27"/>
        <v/>
      </c>
      <c r="AZ134" s="141"/>
      <c r="BA134" s="153" t="str">
        <f t="shared" si="28"/>
        <v>Débil</v>
      </c>
      <c r="BB134" s="22" t="str">
        <f>IFERROR(VLOOKUP((CONCATENATE(AY134,BA134)),Listados!$U$3:$V$11,2,FALSE),"")</f>
        <v/>
      </c>
      <c r="BC134" s="111">
        <f t="shared" si="29"/>
        <v>100</v>
      </c>
      <c r="BD134" s="717"/>
      <c r="BE134" s="761"/>
      <c r="BF134" s="717"/>
      <c r="BG134" s="717"/>
      <c r="BH134" s="713"/>
      <c r="BI134" s="715"/>
      <c r="BJ134" s="713"/>
      <c r="BK134" s="713"/>
      <c r="BL134" s="799"/>
      <c r="BM134" s="800"/>
      <c r="BN134" s="801"/>
      <c r="BO134" s="799"/>
      <c r="BP134" s="800"/>
      <c r="BQ134" s="801"/>
      <c r="BR134" s="799"/>
      <c r="BS134" s="800"/>
      <c r="BT134" s="801"/>
    </row>
    <row r="135" spans="1:72" ht="15" thickBot="1">
      <c r="A135" s="724"/>
      <c r="B135" s="777"/>
      <c r="C135" s="730"/>
      <c r="D135" s="736"/>
      <c r="E135" s="161"/>
      <c r="F135" s="150"/>
      <c r="G135" s="736"/>
      <c r="H135" s="764"/>
      <c r="I135" s="764"/>
      <c r="J135" s="764"/>
      <c r="K135" s="764"/>
      <c r="L135" s="764"/>
      <c r="M135" s="764"/>
      <c r="N135" s="764"/>
      <c r="O135" s="764"/>
      <c r="P135" s="764"/>
      <c r="Q135" s="764"/>
      <c r="R135" s="764"/>
      <c r="S135" s="764"/>
      <c r="T135" s="764"/>
      <c r="U135" s="764"/>
      <c r="V135" s="764"/>
      <c r="W135" s="764"/>
      <c r="X135" s="764"/>
      <c r="Y135" s="764"/>
      <c r="Z135" s="727"/>
      <c r="AA135" s="722"/>
      <c r="AB135" s="727"/>
      <c r="AC135" s="720"/>
      <c r="AD135" s="722" t="str">
        <f>+IF(OR(AB135=1,AB135&lt;=5),"Moderado",IF(OR(AB135=6,AB135&lt;=11),"Mayor","Catastrófico"))</f>
        <v>Moderado</v>
      </c>
      <c r="AE135" s="720"/>
      <c r="AF135" s="715"/>
      <c r="AG135" s="52" t="s">
        <v>467</v>
      </c>
      <c r="AH135" s="145"/>
      <c r="AI135" s="145"/>
      <c r="AJ135" s="145"/>
      <c r="AK135" s="28" t="str">
        <f t="shared" si="19"/>
        <v/>
      </c>
      <c r="AL135" s="145"/>
      <c r="AM135" s="28" t="str">
        <f t="shared" si="20"/>
        <v/>
      </c>
      <c r="AN135" s="140"/>
      <c r="AO135" s="28" t="str">
        <f t="shared" si="21"/>
        <v/>
      </c>
      <c r="AP135" s="140"/>
      <c r="AQ135" s="28" t="str">
        <f t="shared" si="22"/>
        <v/>
      </c>
      <c r="AR135" s="140"/>
      <c r="AS135" s="28" t="str">
        <f t="shared" si="23"/>
        <v/>
      </c>
      <c r="AT135" s="140"/>
      <c r="AU135" s="28" t="str">
        <f t="shared" si="24"/>
        <v/>
      </c>
      <c r="AV135" s="140"/>
      <c r="AW135" s="28" t="str">
        <f t="shared" si="25"/>
        <v/>
      </c>
      <c r="AX135" s="111" t="str">
        <f t="shared" si="26"/>
        <v/>
      </c>
      <c r="AY135" s="111" t="str">
        <f t="shared" si="27"/>
        <v/>
      </c>
      <c r="AZ135" s="141"/>
      <c r="BA135" s="153" t="str">
        <f t="shared" si="28"/>
        <v>Débil</v>
      </c>
      <c r="BB135" s="22" t="str">
        <f>IFERROR(VLOOKUP((CONCATENATE(AY135,BA135)),Listados!$U$3:$V$11,2,FALSE),"")</f>
        <v/>
      </c>
      <c r="BC135" s="111">
        <f t="shared" si="29"/>
        <v>100</v>
      </c>
      <c r="BD135" s="717"/>
      <c r="BE135" s="761"/>
      <c r="BF135" s="717"/>
      <c r="BG135" s="717"/>
      <c r="BH135" s="713"/>
      <c r="BI135" s="715"/>
      <c r="BJ135" s="713"/>
      <c r="BK135" s="713"/>
      <c r="BL135" s="799"/>
      <c r="BM135" s="800"/>
      <c r="BN135" s="801"/>
      <c r="BO135" s="799"/>
      <c r="BP135" s="800"/>
      <c r="BQ135" s="801"/>
      <c r="BR135" s="799"/>
      <c r="BS135" s="800"/>
      <c r="BT135" s="801"/>
    </row>
    <row r="136" spans="1:72" ht="15" thickBot="1">
      <c r="A136" s="724"/>
      <c r="B136" s="777"/>
      <c r="C136" s="730"/>
      <c r="D136" s="736"/>
      <c r="E136" s="755"/>
      <c r="F136" s="769"/>
      <c r="G136" s="736"/>
      <c r="H136" s="764"/>
      <c r="I136" s="764"/>
      <c r="J136" s="764"/>
      <c r="K136" s="764"/>
      <c r="L136" s="764"/>
      <c r="M136" s="764"/>
      <c r="N136" s="764"/>
      <c r="O136" s="764"/>
      <c r="P136" s="764"/>
      <c r="Q136" s="764"/>
      <c r="R136" s="764"/>
      <c r="S136" s="764"/>
      <c r="T136" s="764"/>
      <c r="U136" s="764"/>
      <c r="V136" s="764"/>
      <c r="W136" s="764"/>
      <c r="X136" s="764"/>
      <c r="Y136" s="764"/>
      <c r="Z136" s="727"/>
      <c r="AA136" s="722"/>
      <c r="AB136" s="727"/>
      <c r="AC136" s="720"/>
      <c r="AD136" s="722" t="str">
        <f>+IF(OR(AB136=1,AB136&lt;=5),"Moderado",IF(OR(AB136=6,AB136&lt;=11),"Mayor","Catastrófico"))</f>
        <v>Moderado</v>
      </c>
      <c r="AE136" s="720"/>
      <c r="AF136" s="715"/>
      <c r="AG136" s="52" t="s">
        <v>467</v>
      </c>
      <c r="AH136" s="145"/>
      <c r="AI136" s="145"/>
      <c r="AJ136" s="145"/>
      <c r="AK136" s="28" t="str">
        <f t="shared" ref="AK136:AK199" si="30">+IF(AJ136="si",15,"")</f>
        <v/>
      </c>
      <c r="AL136" s="145"/>
      <c r="AM136" s="28" t="str">
        <f t="shared" ref="AM136:AM199" si="31">+IF(AL136="si",15,"")</f>
        <v/>
      </c>
      <c r="AN136" s="140"/>
      <c r="AO136" s="28" t="str">
        <f t="shared" ref="AO136:AO199" si="32">+IF(AN136="si",15,"")</f>
        <v/>
      </c>
      <c r="AP136" s="140"/>
      <c r="AQ136" s="28" t="str">
        <f t="shared" ref="AQ136:AQ199" si="33">+IF(AP136="Preventivo",15,IF(AP136="Detectivo",10,""))</f>
        <v/>
      </c>
      <c r="AR136" s="140"/>
      <c r="AS136" s="28" t="str">
        <f t="shared" ref="AS136:AS199" si="34">+IF(AR136="si",15,"")</f>
        <v/>
      </c>
      <c r="AT136" s="140"/>
      <c r="AU136" s="28" t="str">
        <f t="shared" ref="AU136:AU199" si="35">+IF(AT136="si",15,"")</f>
        <v/>
      </c>
      <c r="AV136" s="140"/>
      <c r="AW136" s="28" t="str">
        <f t="shared" ref="AW136:AW199" si="36">+IF(AV136="Completa",10,IF(AV136="Incompleta",5,""))</f>
        <v/>
      </c>
      <c r="AX136" s="111" t="str">
        <f t="shared" ref="AX136:AX199" si="37">IF((SUM(AK136,AM136,AO136,AQ136,AS136,AU136,AW136)=0),"",(SUM(AK136,AM136,AO136,AQ136,AS136,AU136,AW136)))</f>
        <v/>
      </c>
      <c r="AY136" s="111" t="str">
        <f t="shared" ref="AY136:AY199" si="38">IF(AX136&lt;=85,"Débil",IF(AX136&lt;=95,"Moderado",IF(AX136=100,"Fuerte","")))</f>
        <v/>
      </c>
      <c r="AZ136" s="141"/>
      <c r="BA136" s="153" t="str">
        <f t="shared" ref="BA136:BA199" si="39">+IF(AZ136="siempre","Fuerte",IF(AZ136="Algunas veces","Moderado","Débil"))</f>
        <v>Débil</v>
      </c>
      <c r="BB136" s="22" t="str">
        <f>IFERROR(VLOOKUP((CONCATENATE(AY136,BA136)),Listados!$U$3:$V$11,2,FALSE),"")</f>
        <v/>
      </c>
      <c r="BC136" s="111">
        <f t="shared" ref="BC136:BC199" si="40">IF(ISBLANK(BB136),"",IF(BB136="Débil", 0, IF(BB136="Moderado",50,100)))</f>
        <v>100</v>
      </c>
      <c r="BD136" s="717"/>
      <c r="BE136" s="761"/>
      <c r="BF136" s="717"/>
      <c r="BG136" s="717"/>
      <c r="BH136" s="713"/>
      <c r="BI136" s="715"/>
      <c r="BJ136" s="713"/>
      <c r="BK136" s="713"/>
      <c r="BL136" s="799"/>
      <c r="BM136" s="800"/>
      <c r="BN136" s="801"/>
      <c r="BO136" s="799"/>
      <c r="BP136" s="800"/>
      <c r="BQ136" s="801"/>
      <c r="BR136" s="799"/>
      <c r="BS136" s="800"/>
      <c r="BT136" s="801"/>
    </row>
    <row r="137" spans="1:72" ht="15" thickBot="1">
      <c r="A137" s="724"/>
      <c r="B137" s="777"/>
      <c r="C137" s="730"/>
      <c r="D137" s="736"/>
      <c r="E137" s="756"/>
      <c r="F137" s="770"/>
      <c r="G137" s="736"/>
      <c r="H137" s="764"/>
      <c r="I137" s="764"/>
      <c r="J137" s="764"/>
      <c r="K137" s="764"/>
      <c r="L137" s="764"/>
      <c r="M137" s="764"/>
      <c r="N137" s="764"/>
      <c r="O137" s="764"/>
      <c r="P137" s="764"/>
      <c r="Q137" s="764"/>
      <c r="R137" s="764"/>
      <c r="S137" s="764"/>
      <c r="T137" s="764"/>
      <c r="U137" s="764"/>
      <c r="V137" s="764"/>
      <c r="W137" s="764"/>
      <c r="X137" s="764"/>
      <c r="Y137" s="764"/>
      <c r="Z137" s="727"/>
      <c r="AA137" s="722"/>
      <c r="AB137" s="727"/>
      <c r="AC137" s="720"/>
      <c r="AD137" s="722" t="str">
        <f>+IF(OR(AB137=1,AB137&lt;=5),"Moderado",IF(OR(AB137=6,AB137&lt;=11),"Mayor","Catastrófico"))</f>
        <v>Moderado</v>
      </c>
      <c r="AE137" s="720"/>
      <c r="AF137" s="715"/>
      <c r="AG137" s="52" t="s">
        <v>467</v>
      </c>
      <c r="AH137" s="145"/>
      <c r="AI137" s="145"/>
      <c r="AJ137" s="145"/>
      <c r="AK137" s="28" t="str">
        <f t="shared" si="30"/>
        <v/>
      </c>
      <c r="AL137" s="145"/>
      <c r="AM137" s="28" t="str">
        <f t="shared" si="31"/>
        <v/>
      </c>
      <c r="AN137" s="140"/>
      <c r="AO137" s="28" t="str">
        <f t="shared" si="32"/>
        <v/>
      </c>
      <c r="AP137" s="140"/>
      <c r="AQ137" s="28" t="str">
        <f t="shared" si="33"/>
        <v/>
      </c>
      <c r="AR137" s="140"/>
      <c r="AS137" s="28" t="str">
        <f t="shared" si="34"/>
        <v/>
      </c>
      <c r="AT137" s="140"/>
      <c r="AU137" s="28" t="str">
        <f t="shared" si="35"/>
        <v/>
      </c>
      <c r="AV137" s="140"/>
      <c r="AW137" s="28" t="str">
        <f t="shared" si="36"/>
        <v/>
      </c>
      <c r="AX137" s="111" t="str">
        <f t="shared" si="37"/>
        <v/>
      </c>
      <c r="AY137" s="111" t="str">
        <f t="shared" si="38"/>
        <v/>
      </c>
      <c r="AZ137" s="141"/>
      <c r="BA137" s="153" t="str">
        <f t="shared" si="39"/>
        <v>Débil</v>
      </c>
      <c r="BB137" s="22" t="str">
        <f>IFERROR(VLOOKUP((CONCATENATE(AY137,BA137)),Listados!$U$3:$V$11,2,FALSE),"")</f>
        <v/>
      </c>
      <c r="BC137" s="111">
        <f t="shared" si="40"/>
        <v>100</v>
      </c>
      <c r="BD137" s="717"/>
      <c r="BE137" s="761"/>
      <c r="BF137" s="717"/>
      <c r="BG137" s="717"/>
      <c r="BH137" s="713"/>
      <c r="BI137" s="715"/>
      <c r="BJ137" s="713"/>
      <c r="BK137" s="713"/>
      <c r="BL137" s="799"/>
      <c r="BM137" s="800"/>
      <c r="BN137" s="801"/>
      <c r="BO137" s="799"/>
      <c r="BP137" s="800"/>
      <c r="BQ137" s="801"/>
      <c r="BR137" s="799"/>
      <c r="BS137" s="800"/>
      <c r="BT137" s="801"/>
    </row>
    <row r="138" spans="1:72" ht="15" thickBot="1">
      <c r="A138" s="725"/>
      <c r="B138" s="777"/>
      <c r="C138" s="731"/>
      <c r="D138" s="781"/>
      <c r="E138" s="757"/>
      <c r="F138" s="771"/>
      <c r="G138" s="736"/>
      <c r="H138" s="764"/>
      <c r="I138" s="764"/>
      <c r="J138" s="764"/>
      <c r="K138" s="764"/>
      <c r="L138" s="764"/>
      <c r="M138" s="764"/>
      <c r="N138" s="764"/>
      <c r="O138" s="764"/>
      <c r="P138" s="764"/>
      <c r="Q138" s="764"/>
      <c r="R138" s="764"/>
      <c r="S138" s="764"/>
      <c r="T138" s="764"/>
      <c r="U138" s="764"/>
      <c r="V138" s="764"/>
      <c r="W138" s="764"/>
      <c r="X138" s="764"/>
      <c r="Y138" s="764"/>
      <c r="Z138" s="727"/>
      <c r="AA138" s="722"/>
      <c r="AB138" s="727"/>
      <c r="AC138" s="721"/>
      <c r="AD138" s="722" t="str">
        <f>+IF(OR(AB138=1,AB138&lt;=5),"Moderado",IF(OR(AB138=6,AB138&lt;=11),"Mayor","Catastrófico"))</f>
        <v>Moderado</v>
      </c>
      <c r="AE138" s="721"/>
      <c r="AF138" s="715"/>
      <c r="AG138" s="52" t="s">
        <v>467</v>
      </c>
      <c r="AH138" s="145"/>
      <c r="AI138" s="145"/>
      <c r="AJ138" s="145"/>
      <c r="AK138" s="28" t="str">
        <f t="shared" si="30"/>
        <v/>
      </c>
      <c r="AL138" s="145"/>
      <c r="AM138" s="28" t="str">
        <f t="shared" si="31"/>
        <v/>
      </c>
      <c r="AN138" s="140"/>
      <c r="AO138" s="28" t="str">
        <f t="shared" si="32"/>
        <v/>
      </c>
      <c r="AP138" s="140"/>
      <c r="AQ138" s="28" t="str">
        <f t="shared" si="33"/>
        <v/>
      </c>
      <c r="AR138" s="140"/>
      <c r="AS138" s="28" t="str">
        <f t="shared" si="34"/>
        <v/>
      </c>
      <c r="AT138" s="140"/>
      <c r="AU138" s="28" t="str">
        <f t="shared" si="35"/>
        <v/>
      </c>
      <c r="AV138" s="140"/>
      <c r="AW138" s="28" t="str">
        <f t="shared" si="36"/>
        <v/>
      </c>
      <c r="AX138" s="111" t="str">
        <f t="shared" si="37"/>
        <v/>
      </c>
      <c r="AY138" s="111" t="str">
        <f t="shared" si="38"/>
        <v/>
      </c>
      <c r="AZ138" s="141"/>
      <c r="BA138" s="153" t="str">
        <f t="shared" si="39"/>
        <v>Débil</v>
      </c>
      <c r="BB138" s="22" t="str">
        <f>IFERROR(VLOOKUP((CONCATENATE(AY138,BA138)),Listados!$U$3:$V$11,2,FALSE),"")</f>
        <v/>
      </c>
      <c r="BC138" s="111">
        <f t="shared" si="40"/>
        <v>100</v>
      </c>
      <c r="BD138" s="718"/>
      <c r="BE138" s="761"/>
      <c r="BF138" s="718"/>
      <c r="BG138" s="718"/>
      <c r="BH138" s="714"/>
      <c r="BI138" s="715"/>
      <c r="BJ138" s="714"/>
      <c r="BK138" s="714"/>
      <c r="BL138" s="799"/>
      <c r="BM138" s="800"/>
      <c r="BN138" s="801"/>
      <c r="BO138" s="799"/>
      <c r="BP138" s="800"/>
      <c r="BQ138" s="801"/>
      <c r="BR138" s="799"/>
      <c r="BS138" s="800"/>
      <c r="BT138" s="801"/>
    </row>
    <row r="139" spans="1:72" ht="15" thickBot="1">
      <c r="A139" s="723">
        <v>23</v>
      </c>
      <c r="B139" s="776"/>
      <c r="C139" s="729" t="str">
        <f>IFERROR(VLOOKUP(B139,Listados!B$3:C$20,2,FALSE),"")</f>
        <v/>
      </c>
      <c r="D139" s="735" t="s">
        <v>584</v>
      </c>
      <c r="E139" s="105"/>
      <c r="F139" s="18"/>
      <c r="G139" s="735"/>
      <c r="H139" s="763"/>
      <c r="I139" s="763"/>
      <c r="J139" s="763"/>
      <c r="K139" s="763"/>
      <c r="L139" s="763"/>
      <c r="M139" s="763"/>
      <c r="N139" s="763"/>
      <c r="O139" s="763"/>
      <c r="P139" s="763"/>
      <c r="Q139" s="763"/>
      <c r="R139" s="763"/>
      <c r="S139" s="763"/>
      <c r="T139" s="763"/>
      <c r="U139" s="763"/>
      <c r="V139" s="763"/>
      <c r="W139" s="763"/>
      <c r="X139" s="763"/>
      <c r="Y139" s="763"/>
      <c r="Z139" s="762"/>
      <c r="AA139" s="721">
        <f>COUNTIF(H139:Z144, "SI")</f>
        <v>0</v>
      </c>
      <c r="AB139" s="762"/>
      <c r="AC139" s="719" t="e">
        <f>+VLOOKUP(AB139,Listados!$K$8:$L$12,2,0)</f>
        <v>#N/A</v>
      </c>
      <c r="AD139" s="721" t="str">
        <f>+IF(OR(AA139=1,AA139&lt;=5),"Moderado",IF(OR(AA139=6,AA139&lt;=11),"Mayor","Catastrófico"))</f>
        <v>Moderado</v>
      </c>
      <c r="AE139" s="719" t="e">
        <f>+VLOOKUP(AD139,Listados!K145:L149,2,0)</f>
        <v>#N/A</v>
      </c>
      <c r="AF139" s="714" t="str">
        <f>IF(AND(AB139&lt;&gt;"",AD139&lt;&gt;""),VLOOKUP(AB139&amp;AD139,Listados!$M$3:$N$27,2,FALSE),"")</f>
        <v/>
      </c>
      <c r="AG139" s="52" t="s">
        <v>467</v>
      </c>
      <c r="AH139" s="145"/>
      <c r="AI139" s="145"/>
      <c r="AJ139" s="145"/>
      <c r="AK139" s="28" t="str">
        <f t="shared" si="30"/>
        <v/>
      </c>
      <c r="AL139" s="145"/>
      <c r="AM139" s="28" t="str">
        <f t="shared" si="31"/>
        <v/>
      </c>
      <c r="AN139" s="140"/>
      <c r="AO139" s="28" t="str">
        <f t="shared" si="32"/>
        <v/>
      </c>
      <c r="AP139" s="140"/>
      <c r="AQ139" s="28" t="str">
        <f t="shared" si="33"/>
        <v/>
      </c>
      <c r="AR139" s="140"/>
      <c r="AS139" s="28" t="str">
        <f t="shared" si="34"/>
        <v/>
      </c>
      <c r="AT139" s="140"/>
      <c r="AU139" s="28" t="str">
        <f t="shared" si="35"/>
        <v/>
      </c>
      <c r="AV139" s="140"/>
      <c r="AW139" s="28" t="str">
        <f t="shared" si="36"/>
        <v/>
      </c>
      <c r="AX139" s="111" t="str">
        <f t="shared" si="37"/>
        <v/>
      </c>
      <c r="AY139" s="111" t="str">
        <f t="shared" si="38"/>
        <v/>
      </c>
      <c r="AZ139" s="141"/>
      <c r="BA139" s="153" t="str">
        <f t="shared" si="39"/>
        <v>Débil</v>
      </c>
      <c r="BB139" s="22" t="str">
        <f>IFERROR(VLOOKUP((CONCATENATE(AY139,BA139)),Listados!$U$3:$V$11,2,FALSE),"")</f>
        <v/>
      </c>
      <c r="BC139" s="111">
        <f t="shared" si="40"/>
        <v>100</v>
      </c>
      <c r="BD139" s="716">
        <f>AVERAGE(BC139:BC144)</f>
        <v>100</v>
      </c>
      <c r="BE139" s="718" t="str">
        <f>IF(BD139&lt;=50, "Débil", IF(BD139&lt;=99,"Moderado","Fuerte"))</f>
        <v>Fuerte</v>
      </c>
      <c r="BF139" s="716">
        <f>+IF(BE139="Fuerte",2,IF(BE139="Moderado",1,0))</f>
        <v>2</v>
      </c>
      <c r="BG139" s="716" t="e">
        <f>+AC139-BF139</f>
        <v>#N/A</v>
      </c>
      <c r="BH139" s="712" t="e">
        <f>+VLOOKUP(BG139,Listados!$J$18:$K$24,2,TRUE)</f>
        <v>#N/A</v>
      </c>
      <c r="BI139" s="714" t="str">
        <f>IF(ISBLANK(AD139),"",AD139)</f>
        <v>Moderado</v>
      </c>
      <c r="BJ139" s="712" t="e">
        <f>IF(AND(BH139&lt;&gt;"",BI139&lt;&gt;""),VLOOKUP(BH139&amp;BI139,Listados!$M$3:$N$27,2,FALSE),"")</f>
        <v>#N/A</v>
      </c>
      <c r="BK139" s="712" t="e">
        <f>+VLOOKUP(BJ139,Listados!$P$3:$Q$6,2,FALSE)</f>
        <v>#N/A</v>
      </c>
      <c r="BL139" s="799"/>
      <c r="BM139" s="800"/>
      <c r="BN139" s="801"/>
      <c r="BO139" s="799"/>
      <c r="BP139" s="800"/>
      <c r="BQ139" s="801"/>
      <c r="BR139" s="799"/>
      <c r="BS139" s="800"/>
      <c r="BT139" s="801"/>
    </row>
    <row r="140" spans="1:72" ht="15" thickBot="1">
      <c r="A140" s="724"/>
      <c r="B140" s="777"/>
      <c r="C140" s="730"/>
      <c r="D140" s="736"/>
      <c r="E140" s="161"/>
      <c r="F140" s="150"/>
      <c r="G140" s="736"/>
      <c r="H140" s="764"/>
      <c r="I140" s="764"/>
      <c r="J140" s="764"/>
      <c r="K140" s="764"/>
      <c r="L140" s="764"/>
      <c r="M140" s="764"/>
      <c r="N140" s="764"/>
      <c r="O140" s="764"/>
      <c r="P140" s="764"/>
      <c r="Q140" s="764"/>
      <c r="R140" s="764"/>
      <c r="S140" s="764"/>
      <c r="T140" s="764"/>
      <c r="U140" s="764"/>
      <c r="V140" s="764"/>
      <c r="W140" s="764"/>
      <c r="X140" s="764"/>
      <c r="Y140" s="764"/>
      <c r="Z140" s="727"/>
      <c r="AA140" s="722"/>
      <c r="AB140" s="727"/>
      <c r="AC140" s="720"/>
      <c r="AD140" s="722" t="str">
        <f>+IF(OR(AB140=1,AB140&lt;=5),"Moderado",IF(OR(AB140=6,AB140&lt;=11),"Mayor","Catastrófico"))</f>
        <v>Moderado</v>
      </c>
      <c r="AE140" s="720"/>
      <c r="AF140" s="715"/>
      <c r="AG140" s="52" t="s">
        <v>467</v>
      </c>
      <c r="AH140" s="145"/>
      <c r="AI140" s="145"/>
      <c r="AJ140" s="145"/>
      <c r="AK140" s="28" t="str">
        <f t="shared" si="30"/>
        <v/>
      </c>
      <c r="AL140" s="145"/>
      <c r="AM140" s="28" t="str">
        <f t="shared" si="31"/>
        <v/>
      </c>
      <c r="AN140" s="140"/>
      <c r="AO140" s="28" t="str">
        <f t="shared" si="32"/>
        <v/>
      </c>
      <c r="AP140" s="140"/>
      <c r="AQ140" s="28" t="str">
        <f t="shared" si="33"/>
        <v/>
      </c>
      <c r="AR140" s="140"/>
      <c r="AS140" s="28" t="str">
        <f t="shared" si="34"/>
        <v/>
      </c>
      <c r="AT140" s="140"/>
      <c r="AU140" s="28" t="str">
        <f t="shared" si="35"/>
        <v/>
      </c>
      <c r="AV140" s="140"/>
      <c r="AW140" s="28" t="str">
        <f t="shared" si="36"/>
        <v/>
      </c>
      <c r="AX140" s="111" t="str">
        <f t="shared" si="37"/>
        <v/>
      </c>
      <c r="AY140" s="111" t="str">
        <f t="shared" si="38"/>
        <v/>
      </c>
      <c r="AZ140" s="141"/>
      <c r="BA140" s="153" t="str">
        <f t="shared" si="39"/>
        <v>Débil</v>
      </c>
      <c r="BB140" s="22" t="str">
        <f>IFERROR(VLOOKUP((CONCATENATE(AY140,BA140)),Listados!$U$3:$V$11,2,FALSE),"")</f>
        <v/>
      </c>
      <c r="BC140" s="111">
        <f t="shared" si="40"/>
        <v>100</v>
      </c>
      <c r="BD140" s="717"/>
      <c r="BE140" s="761"/>
      <c r="BF140" s="717"/>
      <c r="BG140" s="717"/>
      <c r="BH140" s="713"/>
      <c r="BI140" s="715"/>
      <c r="BJ140" s="713"/>
      <c r="BK140" s="713"/>
      <c r="BL140" s="799"/>
      <c r="BM140" s="800"/>
      <c r="BN140" s="801"/>
      <c r="BO140" s="799"/>
      <c r="BP140" s="800"/>
      <c r="BQ140" s="801"/>
      <c r="BR140" s="799"/>
      <c r="BS140" s="800"/>
      <c r="BT140" s="801"/>
    </row>
    <row r="141" spans="1:72" ht="15" thickBot="1">
      <c r="A141" s="724"/>
      <c r="B141" s="777"/>
      <c r="C141" s="730"/>
      <c r="D141" s="736"/>
      <c r="E141" s="161"/>
      <c r="F141" s="150"/>
      <c r="G141" s="736"/>
      <c r="H141" s="764"/>
      <c r="I141" s="764"/>
      <c r="J141" s="764"/>
      <c r="K141" s="764"/>
      <c r="L141" s="764"/>
      <c r="M141" s="764"/>
      <c r="N141" s="764"/>
      <c r="O141" s="764"/>
      <c r="P141" s="764"/>
      <c r="Q141" s="764"/>
      <c r="R141" s="764"/>
      <c r="S141" s="764"/>
      <c r="T141" s="764"/>
      <c r="U141" s="764"/>
      <c r="V141" s="764"/>
      <c r="W141" s="764"/>
      <c r="X141" s="764"/>
      <c r="Y141" s="764"/>
      <c r="Z141" s="727"/>
      <c r="AA141" s="722"/>
      <c r="AB141" s="727"/>
      <c r="AC141" s="720"/>
      <c r="AD141" s="722" t="str">
        <f>+IF(OR(AB141=1,AB141&lt;=5),"Moderado",IF(OR(AB141=6,AB141&lt;=11),"Mayor","Catastrófico"))</f>
        <v>Moderado</v>
      </c>
      <c r="AE141" s="720"/>
      <c r="AF141" s="715"/>
      <c r="AG141" s="52" t="s">
        <v>467</v>
      </c>
      <c r="AH141" s="145"/>
      <c r="AI141" s="145"/>
      <c r="AJ141" s="145"/>
      <c r="AK141" s="28" t="str">
        <f t="shared" si="30"/>
        <v/>
      </c>
      <c r="AL141" s="145"/>
      <c r="AM141" s="28" t="str">
        <f t="shared" si="31"/>
        <v/>
      </c>
      <c r="AN141" s="140"/>
      <c r="AO141" s="28" t="str">
        <f t="shared" si="32"/>
        <v/>
      </c>
      <c r="AP141" s="140"/>
      <c r="AQ141" s="28" t="str">
        <f t="shared" si="33"/>
        <v/>
      </c>
      <c r="AR141" s="140"/>
      <c r="AS141" s="28" t="str">
        <f t="shared" si="34"/>
        <v/>
      </c>
      <c r="AT141" s="140"/>
      <c r="AU141" s="28" t="str">
        <f t="shared" si="35"/>
        <v/>
      </c>
      <c r="AV141" s="140"/>
      <c r="AW141" s="28" t="str">
        <f t="shared" si="36"/>
        <v/>
      </c>
      <c r="AX141" s="111" t="str">
        <f t="shared" si="37"/>
        <v/>
      </c>
      <c r="AY141" s="111" t="str">
        <f t="shared" si="38"/>
        <v/>
      </c>
      <c r="AZ141" s="141"/>
      <c r="BA141" s="153" t="str">
        <f t="shared" si="39"/>
        <v>Débil</v>
      </c>
      <c r="BB141" s="22" t="str">
        <f>IFERROR(VLOOKUP((CONCATENATE(AY141,BA141)),Listados!$U$3:$V$11,2,FALSE),"")</f>
        <v/>
      </c>
      <c r="BC141" s="111">
        <f t="shared" si="40"/>
        <v>100</v>
      </c>
      <c r="BD141" s="717"/>
      <c r="BE141" s="761"/>
      <c r="BF141" s="717"/>
      <c r="BG141" s="717"/>
      <c r="BH141" s="713"/>
      <c r="BI141" s="715"/>
      <c r="BJ141" s="713"/>
      <c r="BK141" s="713"/>
      <c r="BL141" s="799"/>
      <c r="BM141" s="800"/>
      <c r="BN141" s="801"/>
      <c r="BO141" s="799"/>
      <c r="BP141" s="800"/>
      <c r="BQ141" s="801"/>
      <c r="BR141" s="799"/>
      <c r="BS141" s="800"/>
      <c r="BT141" s="801"/>
    </row>
    <row r="142" spans="1:72" ht="15" thickBot="1">
      <c r="A142" s="724"/>
      <c r="B142" s="777"/>
      <c r="C142" s="730"/>
      <c r="D142" s="736"/>
      <c r="E142" s="755"/>
      <c r="F142" s="769"/>
      <c r="G142" s="736"/>
      <c r="H142" s="764"/>
      <c r="I142" s="764"/>
      <c r="J142" s="764"/>
      <c r="K142" s="764"/>
      <c r="L142" s="764"/>
      <c r="M142" s="764"/>
      <c r="N142" s="764"/>
      <c r="O142" s="764"/>
      <c r="P142" s="764"/>
      <c r="Q142" s="764"/>
      <c r="R142" s="764"/>
      <c r="S142" s="764"/>
      <c r="T142" s="764"/>
      <c r="U142" s="764"/>
      <c r="V142" s="764"/>
      <c r="W142" s="764"/>
      <c r="X142" s="764"/>
      <c r="Y142" s="764"/>
      <c r="Z142" s="727"/>
      <c r="AA142" s="722"/>
      <c r="AB142" s="727"/>
      <c r="AC142" s="720"/>
      <c r="AD142" s="722" t="str">
        <f>+IF(OR(AB142=1,AB142&lt;=5),"Moderado",IF(OR(AB142=6,AB142&lt;=11),"Mayor","Catastrófico"))</f>
        <v>Moderado</v>
      </c>
      <c r="AE142" s="720"/>
      <c r="AF142" s="715"/>
      <c r="AG142" s="52" t="s">
        <v>467</v>
      </c>
      <c r="AH142" s="145"/>
      <c r="AI142" s="145"/>
      <c r="AJ142" s="145"/>
      <c r="AK142" s="28" t="str">
        <f t="shared" si="30"/>
        <v/>
      </c>
      <c r="AL142" s="145"/>
      <c r="AM142" s="28" t="str">
        <f t="shared" si="31"/>
        <v/>
      </c>
      <c r="AN142" s="140"/>
      <c r="AO142" s="28" t="str">
        <f t="shared" si="32"/>
        <v/>
      </c>
      <c r="AP142" s="140"/>
      <c r="AQ142" s="28" t="str">
        <f t="shared" si="33"/>
        <v/>
      </c>
      <c r="AR142" s="140"/>
      <c r="AS142" s="28" t="str">
        <f t="shared" si="34"/>
        <v/>
      </c>
      <c r="AT142" s="140"/>
      <c r="AU142" s="28" t="str">
        <f t="shared" si="35"/>
        <v/>
      </c>
      <c r="AV142" s="140"/>
      <c r="AW142" s="28" t="str">
        <f t="shared" si="36"/>
        <v/>
      </c>
      <c r="AX142" s="111" t="str">
        <f t="shared" si="37"/>
        <v/>
      </c>
      <c r="AY142" s="111" t="str">
        <f t="shared" si="38"/>
        <v/>
      </c>
      <c r="AZ142" s="141"/>
      <c r="BA142" s="153" t="str">
        <f t="shared" si="39"/>
        <v>Débil</v>
      </c>
      <c r="BB142" s="22" t="str">
        <f>IFERROR(VLOOKUP((CONCATENATE(AY142,BA142)),Listados!$U$3:$V$11,2,FALSE),"")</f>
        <v/>
      </c>
      <c r="BC142" s="111">
        <f t="shared" si="40"/>
        <v>100</v>
      </c>
      <c r="BD142" s="717"/>
      <c r="BE142" s="761"/>
      <c r="BF142" s="717"/>
      <c r="BG142" s="717"/>
      <c r="BH142" s="713"/>
      <c r="BI142" s="715"/>
      <c r="BJ142" s="713"/>
      <c r="BK142" s="713"/>
      <c r="BL142" s="799"/>
      <c r="BM142" s="800"/>
      <c r="BN142" s="801"/>
      <c r="BO142" s="799"/>
      <c r="BP142" s="800"/>
      <c r="BQ142" s="801"/>
      <c r="BR142" s="799"/>
      <c r="BS142" s="800"/>
      <c r="BT142" s="801"/>
    </row>
    <row r="143" spans="1:72" ht="15" thickBot="1">
      <c r="A143" s="724"/>
      <c r="B143" s="777"/>
      <c r="C143" s="730"/>
      <c r="D143" s="736"/>
      <c r="E143" s="756"/>
      <c r="F143" s="770"/>
      <c r="G143" s="736"/>
      <c r="H143" s="764"/>
      <c r="I143" s="764"/>
      <c r="J143" s="764"/>
      <c r="K143" s="764"/>
      <c r="L143" s="764"/>
      <c r="M143" s="764"/>
      <c r="N143" s="764"/>
      <c r="O143" s="764"/>
      <c r="P143" s="764"/>
      <c r="Q143" s="764"/>
      <c r="R143" s="764"/>
      <c r="S143" s="764"/>
      <c r="T143" s="764"/>
      <c r="U143" s="764"/>
      <c r="V143" s="764"/>
      <c r="W143" s="764"/>
      <c r="X143" s="764"/>
      <c r="Y143" s="764"/>
      <c r="Z143" s="727"/>
      <c r="AA143" s="722"/>
      <c r="AB143" s="727"/>
      <c r="AC143" s="720"/>
      <c r="AD143" s="722" t="str">
        <f>+IF(OR(AB143=1,AB143&lt;=5),"Moderado",IF(OR(AB143=6,AB143&lt;=11),"Mayor","Catastrófico"))</f>
        <v>Moderado</v>
      </c>
      <c r="AE143" s="720"/>
      <c r="AF143" s="715"/>
      <c r="AG143" s="52" t="s">
        <v>467</v>
      </c>
      <c r="AH143" s="145"/>
      <c r="AI143" s="145"/>
      <c r="AJ143" s="145"/>
      <c r="AK143" s="28" t="str">
        <f t="shared" si="30"/>
        <v/>
      </c>
      <c r="AL143" s="145"/>
      <c r="AM143" s="28" t="str">
        <f t="shared" si="31"/>
        <v/>
      </c>
      <c r="AN143" s="140"/>
      <c r="AO143" s="28" t="str">
        <f t="shared" si="32"/>
        <v/>
      </c>
      <c r="AP143" s="140"/>
      <c r="AQ143" s="28" t="str">
        <f t="shared" si="33"/>
        <v/>
      </c>
      <c r="AR143" s="140"/>
      <c r="AS143" s="28" t="str">
        <f t="shared" si="34"/>
        <v/>
      </c>
      <c r="AT143" s="140"/>
      <c r="AU143" s="28" t="str">
        <f t="shared" si="35"/>
        <v/>
      </c>
      <c r="AV143" s="140"/>
      <c r="AW143" s="28" t="str">
        <f t="shared" si="36"/>
        <v/>
      </c>
      <c r="AX143" s="111" t="str">
        <f t="shared" si="37"/>
        <v/>
      </c>
      <c r="AY143" s="111" t="str">
        <f t="shared" si="38"/>
        <v/>
      </c>
      <c r="AZ143" s="141"/>
      <c r="BA143" s="153" t="str">
        <f t="shared" si="39"/>
        <v>Débil</v>
      </c>
      <c r="BB143" s="22" t="str">
        <f>IFERROR(VLOOKUP((CONCATENATE(AY143,BA143)),Listados!$U$3:$V$11,2,FALSE),"")</f>
        <v/>
      </c>
      <c r="BC143" s="111">
        <f t="shared" si="40"/>
        <v>100</v>
      </c>
      <c r="BD143" s="717"/>
      <c r="BE143" s="761"/>
      <c r="BF143" s="717"/>
      <c r="BG143" s="717"/>
      <c r="BH143" s="713"/>
      <c r="BI143" s="715"/>
      <c r="BJ143" s="713"/>
      <c r="BK143" s="713"/>
      <c r="BL143" s="799"/>
      <c r="BM143" s="800"/>
      <c r="BN143" s="801"/>
      <c r="BO143" s="799"/>
      <c r="BP143" s="800"/>
      <c r="BQ143" s="801"/>
      <c r="BR143" s="799"/>
      <c r="BS143" s="800"/>
      <c r="BT143" s="801"/>
    </row>
    <row r="144" spans="1:72" ht="15" thickBot="1">
      <c r="A144" s="725"/>
      <c r="B144" s="777"/>
      <c r="C144" s="731"/>
      <c r="D144" s="781"/>
      <c r="E144" s="757"/>
      <c r="F144" s="771"/>
      <c r="G144" s="736"/>
      <c r="H144" s="764"/>
      <c r="I144" s="764"/>
      <c r="J144" s="764"/>
      <c r="K144" s="764"/>
      <c r="L144" s="764"/>
      <c r="M144" s="764"/>
      <c r="N144" s="764"/>
      <c r="O144" s="764"/>
      <c r="P144" s="764"/>
      <c r="Q144" s="764"/>
      <c r="R144" s="764"/>
      <c r="S144" s="764"/>
      <c r="T144" s="764"/>
      <c r="U144" s="764"/>
      <c r="V144" s="764"/>
      <c r="W144" s="764"/>
      <c r="X144" s="764"/>
      <c r="Y144" s="764"/>
      <c r="Z144" s="727"/>
      <c r="AA144" s="722"/>
      <c r="AB144" s="727"/>
      <c r="AC144" s="721"/>
      <c r="AD144" s="722" t="str">
        <f>+IF(OR(AB144=1,AB144&lt;=5),"Moderado",IF(OR(AB144=6,AB144&lt;=11),"Mayor","Catastrófico"))</f>
        <v>Moderado</v>
      </c>
      <c r="AE144" s="721"/>
      <c r="AF144" s="715"/>
      <c r="AG144" s="52" t="s">
        <v>467</v>
      </c>
      <c r="AH144" s="145"/>
      <c r="AI144" s="145"/>
      <c r="AJ144" s="145"/>
      <c r="AK144" s="28" t="str">
        <f t="shared" si="30"/>
        <v/>
      </c>
      <c r="AL144" s="145"/>
      <c r="AM144" s="28" t="str">
        <f t="shared" si="31"/>
        <v/>
      </c>
      <c r="AN144" s="140"/>
      <c r="AO144" s="28" t="str">
        <f t="shared" si="32"/>
        <v/>
      </c>
      <c r="AP144" s="140"/>
      <c r="AQ144" s="28" t="str">
        <f t="shared" si="33"/>
        <v/>
      </c>
      <c r="AR144" s="140"/>
      <c r="AS144" s="28" t="str">
        <f t="shared" si="34"/>
        <v/>
      </c>
      <c r="AT144" s="140"/>
      <c r="AU144" s="28" t="str">
        <f t="shared" si="35"/>
        <v/>
      </c>
      <c r="AV144" s="140"/>
      <c r="AW144" s="28" t="str">
        <f t="shared" si="36"/>
        <v/>
      </c>
      <c r="AX144" s="111" t="str">
        <f t="shared" si="37"/>
        <v/>
      </c>
      <c r="AY144" s="111" t="str">
        <f t="shared" si="38"/>
        <v/>
      </c>
      <c r="AZ144" s="141"/>
      <c r="BA144" s="153" t="str">
        <f t="shared" si="39"/>
        <v>Débil</v>
      </c>
      <c r="BB144" s="22" t="str">
        <f>IFERROR(VLOOKUP((CONCATENATE(AY144,BA144)),Listados!$U$3:$V$11,2,FALSE),"")</f>
        <v/>
      </c>
      <c r="BC144" s="111">
        <f t="shared" si="40"/>
        <v>100</v>
      </c>
      <c r="BD144" s="718"/>
      <c r="BE144" s="761"/>
      <c r="BF144" s="718"/>
      <c r="BG144" s="718"/>
      <c r="BH144" s="714"/>
      <c r="BI144" s="715"/>
      <c r="BJ144" s="714"/>
      <c r="BK144" s="714"/>
      <c r="BL144" s="799"/>
      <c r="BM144" s="800"/>
      <c r="BN144" s="801"/>
      <c r="BO144" s="799"/>
      <c r="BP144" s="800"/>
      <c r="BQ144" s="801"/>
      <c r="BR144" s="799"/>
      <c r="BS144" s="800"/>
      <c r="BT144" s="801"/>
    </row>
    <row r="145" spans="1:72" ht="15" thickBot="1">
      <c r="A145" s="723">
        <v>24</v>
      </c>
      <c r="B145" s="776"/>
      <c r="C145" s="729" t="str">
        <f>IFERROR(VLOOKUP(B145,Listados!B$3:C$20,2,FALSE),"")</f>
        <v/>
      </c>
      <c r="D145" s="735" t="s">
        <v>584</v>
      </c>
      <c r="E145" s="105"/>
      <c r="F145" s="18"/>
      <c r="G145" s="735"/>
      <c r="H145" s="763"/>
      <c r="I145" s="763"/>
      <c r="J145" s="763"/>
      <c r="K145" s="763"/>
      <c r="L145" s="763"/>
      <c r="M145" s="763"/>
      <c r="N145" s="763"/>
      <c r="O145" s="763"/>
      <c r="P145" s="763"/>
      <c r="Q145" s="763"/>
      <c r="R145" s="763"/>
      <c r="S145" s="763"/>
      <c r="T145" s="763"/>
      <c r="U145" s="763"/>
      <c r="V145" s="763"/>
      <c r="W145" s="763"/>
      <c r="X145" s="763"/>
      <c r="Y145" s="763"/>
      <c r="Z145" s="762"/>
      <c r="AA145" s="721">
        <f>COUNTIF(H145:Z150, "SI")</f>
        <v>0</v>
      </c>
      <c r="AB145" s="762"/>
      <c r="AC145" s="719" t="e">
        <f>+VLOOKUP(AB145,Listados!$K$8:$L$12,2,0)</f>
        <v>#N/A</v>
      </c>
      <c r="AD145" s="721" t="str">
        <f>+IF(OR(AA145=1,AA145&lt;=5),"Moderado",IF(OR(AA145=6,AA145&lt;=11),"Mayor","Catastrófico"))</f>
        <v>Moderado</v>
      </c>
      <c r="AE145" s="719" t="e">
        <f>+VLOOKUP(AD145,Listados!K151:L155,2,0)</f>
        <v>#N/A</v>
      </c>
      <c r="AF145" s="714" t="str">
        <f>IF(AND(AB145&lt;&gt;"",AD145&lt;&gt;""),VLOOKUP(AB145&amp;AD145,Listados!$M$3:$N$27,2,FALSE),"")</f>
        <v/>
      </c>
      <c r="AG145" s="52" t="s">
        <v>467</v>
      </c>
      <c r="AH145" s="145"/>
      <c r="AI145" s="145"/>
      <c r="AJ145" s="145"/>
      <c r="AK145" s="28" t="str">
        <f t="shared" si="30"/>
        <v/>
      </c>
      <c r="AL145" s="145"/>
      <c r="AM145" s="28" t="str">
        <f t="shared" si="31"/>
        <v/>
      </c>
      <c r="AN145" s="140"/>
      <c r="AO145" s="28" t="str">
        <f t="shared" si="32"/>
        <v/>
      </c>
      <c r="AP145" s="140"/>
      <c r="AQ145" s="28" t="str">
        <f t="shared" si="33"/>
        <v/>
      </c>
      <c r="AR145" s="140"/>
      <c r="AS145" s="28" t="str">
        <f t="shared" si="34"/>
        <v/>
      </c>
      <c r="AT145" s="140"/>
      <c r="AU145" s="28" t="str">
        <f t="shared" si="35"/>
        <v/>
      </c>
      <c r="AV145" s="140"/>
      <c r="AW145" s="28" t="str">
        <f t="shared" si="36"/>
        <v/>
      </c>
      <c r="AX145" s="111" t="str">
        <f t="shared" si="37"/>
        <v/>
      </c>
      <c r="AY145" s="111" t="str">
        <f t="shared" si="38"/>
        <v/>
      </c>
      <c r="AZ145" s="141"/>
      <c r="BA145" s="153" t="str">
        <f t="shared" si="39"/>
        <v>Débil</v>
      </c>
      <c r="BB145" s="22" t="str">
        <f>IFERROR(VLOOKUP((CONCATENATE(AY145,BA145)),Listados!$U$3:$V$11,2,FALSE),"")</f>
        <v/>
      </c>
      <c r="BC145" s="111">
        <f t="shared" si="40"/>
        <v>100</v>
      </c>
      <c r="BD145" s="716">
        <f>AVERAGE(BC145:BC150)</f>
        <v>100</v>
      </c>
      <c r="BE145" s="718" t="str">
        <f>IF(BD145&lt;=50, "Débil", IF(BD145&lt;=99,"Moderado","Fuerte"))</f>
        <v>Fuerte</v>
      </c>
      <c r="BF145" s="716">
        <f>+IF(BE145="Fuerte",2,IF(BE145="Moderado",1,0))</f>
        <v>2</v>
      </c>
      <c r="BG145" s="716" t="e">
        <f>+AC145-BF145</f>
        <v>#N/A</v>
      </c>
      <c r="BH145" s="712" t="e">
        <f>+VLOOKUP(BG145,Listados!$J$18:$K$24,2,TRUE)</f>
        <v>#N/A</v>
      </c>
      <c r="BI145" s="714" t="str">
        <f>IF(ISBLANK(AD145),"",AD145)</f>
        <v>Moderado</v>
      </c>
      <c r="BJ145" s="712" t="e">
        <f>IF(AND(BH145&lt;&gt;"",BI145&lt;&gt;""),VLOOKUP(BH145&amp;BI145,Listados!$M$3:$N$27,2,FALSE),"")</f>
        <v>#N/A</v>
      </c>
      <c r="BK145" s="712" t="e">
        <f>+VLOOKUP(BJ145,Listados!$P$3:$Q$6,2,FALSE)</f>
        <v>#N/A</v>
      </c>
      <c r="BL145" s="799"/>
      <c r="BM145" s="800"/>
      <c r="BN145" s="801"/>
      <c r="BO145" s="799"/>
      <c r="BP145" s="800"/>
      <c r="BQ145" s="801"/>
      <c r="BR145" s="799"/>
      <c r="BS145" s="800"/>
      <c r="BT145" s="801"/>
    </row>
    <row r="146" spans="1:72" ht="15" thickBot="1">
      <c r="A146" s="724"/>
      <c r="B146" s="777"/>
      <c r="C146" s="730"/>
      <c r="D146" s="736"/>
      <c r="E146" s="161"/>
      <c r="F146" s="150"/>
      <c r="G146" s="736"/>
      <c r="H146" s="764"/>
      <c r="I146" s="764"/>
      <c r="J146" s="764"/>
      <c r="K146" s="764"/>
      <c r="L146" s="764"/>
      <c r="M146" s="764"/>
      <c r="N146" s="764"/>
      <c r="O146" s="764"/>
      <c r="P146" s="764"/>
      <c r="Q146" s="764"/>
      <c r="R146" s="764"/>
      <c r="S146" s="764"/>
      <c r="T146" s="764"/>
      <c r="U146" s="764"/>
      <c r="V146" s="764"/>
      <c r="W146" s="764"/>
      <c r="X146" s="764"/>
      <c r="Y146" s="764"/>
      <c r="Z146" s="727"/>
      <c r="AA146" s="722"/>
      <c r="AB146" s="727"/>
      <c r="AC146" s="720"/>
      <c r="AD146" s="722" t="str">
        <f>+IF(OR(AB146=1,AB146&lt;=5),"Moderado",IF(OR(AB146=6,AB146&lt;=11),"Mayor","Catastrófico"))</f>
        <v>Moderado</v>
      </c>
      <c r="AE146" s="720"/>
      <c r="AF146" s="715"/>
      <c r="AG146" s="52" t="s">
        <v>467</v>
      </c>
      <c r="AH146" s="145"/>
      <c r="AI146" s="145"/>
      <c r="AJ146" s="145"/>
      <c r="AK146" s="28" t="str">
        <f t="shared" si="30"/>
        <v/>
      </c>
      <c r="AL146" s="145"/>
      <c r="AM146" s="28" t="str">
        <f t="shared" si="31"/>
        <v/>
      </c>
      <c r="AN146" s="140"/>
      <c r="AO146" s="28" t="str">
        <f t="shared" si="32"/>
        <v/>
      </c>
      <c r="AP146" s="140"/>
      <c r="AQ146" s="28" t="str">
        <f t="shared" si="33"/>
        <v/>
      </c>
      <c r="AR146" s="140"/>
      <c r="AS146" s="28" t="str">
        <f t="shared" si="34"/>
        <v/>
      </c>
      <c r="AT146" s="140"/>
      <c r="AU146" s="28" t="str">
        <f t="shared" si="35"/>
        <v/>
      </c>
      <c r="AV146" s="140"/>
      <c r="AW146" s="28" t="str">
        <f t="shared" si="36"/>
        <v/>
      </c>
      <c r="AX146" s="111" t="str">
        <f t="shared" si="37"/>
        <v/>
      </c>
      <c r="AY146" s="111" t="str">
        <f t="shared" si="38"/>
        <v/>
      </c>
      <c r="AZ146" s="141"/>
      <c r="BA146" s="153" t="str">
        <f t="shared" si="39"/>
        <v>Débil</v>
      </c>
      <c r="BB146" s="22" t="str">
        <f>IFERROR(VLOOKUP((CONCATENATE(AY146,BA146)),Listados!$U$3:$V$11,2,FALSE),"")</f>
        <v/>
      </c>
      <c r="BC146" s="111">
        <f t="shared" si="40"/>
        <v>100</v>
      </c>
      <c r="BD146" s="717"/>
      <c r="BE146" s="761"/>
      <c r="BF146" s="717"/>
      <c r="BG146" s="717"/>
      <c r="BH146" s="713"/>
      <c r="BI146" s="715"/>
      <c r="BJ146" s="713"/>
      <c r="BK146" s="713"/>
      <c r="BL146" s="799"/>
      <c r="BM146" s="800"/>
      <c r="BN146" s="801"/>
      <c r="BO146" s="799"/>
      <c r="BP146" s="800"/>
      <c r="BQ146" s="801"/>
      <c r="BR146" s="799"/>
      <c r="BS146" s="800"/>
      <c r="BT146" s="801"/>
    </row>
    <row r="147" spans="1:72" ht="15" thickBot="1">
      <c r="A147" s="724"/>
      <c r="B147" s="777"/>
      <c r="C147" s="730"/>
      <c r="D147" s="736"/>
      <c r="E147" s="161"/>
      <c r="F147" s="150"/>
      <c r="G147" s="736"/>
      <c r="H147" s="764"/>
      <c r="I147" s="764"/>
      <c r="J147" s="764"/>
      <c r="K147" s="764"/>
      <c r="L147" s="764"/>
      <c r="M147" s="764"/>
      <c r="N147" s="764"/>
      <c r="O147" s="764"/>
      <c r="P147" s="764"/>
      <c r="Q147" s="764"/>
      <c r="R147" s="764"/>
      <c r="S147" s="764"/>
      <c r="T147" s="764"/>
      <c r="U147" s="764"/>
      <c r="V147" s="764"/>
      <c r="W147" s="764"/>
      <c r="X147" s="764"/>
      <c r="Y147" s="764"/>
      <c r="Z147" s="727"/>
      <c r="AA147" s="722"/>
      <c r="AB147" s="727"/>
      <c r="AC147" s="720"/>
      <c r="AD147" s="722" t="str">
        <f>+IF(OR(AB147=1,AB147&lt;=5),"Moderado",IF(OR(AB147=6,AB147&lt;=11),"Mayor","Catastrófico"))</f>
        <v>Moderado</v>
      </c>
      <c r="AE147" s="720"/>
      <c r="AF147" s="715"/>
      <c r="AG147" s="52" t="s">
        <v>467</v>
      </c>
      <c r="AH147" s="145"/>
      <c r="AI147" s="145"/>
      <c r="AJ147" s="145"/>
      <c r="AK147" s="28" t="str">
        <f t="shared" si="30"/>
        <v/>
      </c>
      <c r="AL147" s="145"/>
      <c r="AM147" s="28" t="str">
        <f t="shared" si="31"/>
        <v/>
      </c>
      <c r="AN147" s="140"/>
      <c r="AO147" s="28" t="str">
        <f t="shared" si="32"/>
        <v/>
      </c>
      <c r="AP147" s="140"/>
      <c r="AQ147" s="28" t="str">
        <f t="shared" si="33"/>
        <v/>
      </c>
      <c r="AR147" s="140"/>
      <c r="AS147" s="28" t="str">
        <f t="shared" si="34"/>
        <v/>
      </c>
      <c r="AT147" s="140"/>
      <c r="AU147" s="28" t="str">
        <f t="shared" si="35"/>
        <v/>
      </c>
      <c r="AV147" s="140"/>
      <c r="AW147" s="28" t="str">
        <f t="shared" si="36"/>
        <v/>
      </c>
      <c r="AX147" s="111" t="str">
        <f t="shared" si="37"/>
        <v/>
      </c>
      <c r="AY147" s="111" t="str">
        <f t="shared" si="38"/>
        <v/>
      </c>
      <c r="AZ147" s="141"/>
      <c r="BA147" s="153" t="str">
        <f t="shared" si="39"/>
        <v>Débil</v>
      </c>
      <c r="BB147" s="22" t="str">
        <f>IFERROR(VLOOKUP((CONCATENATE(AY147,BA147)),Listados!$U$3:$V$11,2,FALSE),"")</f>
        <v/>
      </c>
      <c r="BC147" s="111">
        <f t="shared" si="40"/>
        <v>100</v>
      </c>
      <c r="BD147" s="717"/>
      <c r="BE147" s="761"/>
      <c r="BF147" s="717"/>
      <c r="BG147" s="717"/>
      <c r="BH147" s="713"/>
      <c r="BI147" s="715"/>
      <c r="BJ147" s="713"/>
      <c r="BK147" s="713"/>
      <c r="BL147" s="799"/>
      <c r="BM147" s="800"/>
      <c r="BN147" s="801"/>
      <c r="BO147" s="799"/>
      <c r="BP147" s="800"/>
      <c r="BQ147" s="801"/>
      <c r="BR147" s="799"/>
      <c r="BS147" s="800"/>
      <c r="BT147" s="801"/>
    </row>
    <row r="148" spans="1:72" ht="15" thickBot="1">
      <c r="A148" s="724"/>
      <c r="B148" s="777"/>
      <c r="C148" s="730"/>
      <c r="D148" s="736"/>
      <c r="E148" s="755"/>
      <c r="F148" s="769"/>
      <c r="G148" s="736"/>
      <c r="H148" s="764"/>
      <c r="I148" s="764"/>
      <c r="J148" s="764"/>
      <c r="K148" s="764"/>
      <c r="L148" s="764"/>
      <c r="M148" s="764"/>
      <c r="N148" s="764"/>
      <c r="O148" s="764"/>
      <c r="P148" s="764"/>
      <c r="Q148" s="764"/>
      <c r="R148" s="764"/>
      <c r="S148" s="764"/>
      <c r="T148" s="764"/>
      <c r="U148" s="764"/>
      <c r="V148" s="764"/>
      <c r="W148" s="764"/>
      <c r="X148" s="764"/>
      <c r="Y148" s="764"/>
      <c r="Z148" s="727"/>
      <c r="AA148" s="722"/>
      <c r="AB148" s="727"/>
      <c r="AC148" s="720"/>
      <c r="AD148" s="722" t="str">
        <f>+IF(OR(AB148=1,AB148&lt;=5),"Moderado",IF(OR(AB148=6,AB148&lt;=11),"Mayor","Catastrófico"))</f>
        <v>Moderado</v>
      </c>
      <c r="AE148" s="720"/>
      <c r="AF148" s="715"/>
      <c r="AG148" s="52" t="s">
        <v>467</v>
      </c>
      <c r="AH148" s="145"/>
      <c r="AI148" s="145"/>
      <c r="AJ148" s="145"/>
      <c r="AK148" s="28" t="str">
        <f t="shared" si="30"/>
        <v/>
      </c>
      <c r="AL148" s="145"/>
      <c r="AM148" s="28" t="str">
        <f t="shared" si="31"/>
        <v/>
      </c>
      <c r="AN148" s="140"/>
      <c r="AO148" s="28" t="str">
        <f t="shared" si="32"/>
        <v/>
      </c>
      <c r="AP148" s="140"/>
      <c r="AQ148" s="28" t="str">
        <f t="shared" si="33"/>
        <v/>
      </c>
      <c r="AR148" s="140"/>
      <c r="AS148" s="28" t="str">
        <f t="shared" si="34"/>
        <v/>
      </c>
      <c r="AT148" s="140"/>
      <c r="AU148" s="28" t="str">
        <f t="shared" si="35"/>
        <v/>
      </c>
      <c r="AV148" s="140"/>
      <c r="AW148" s="28" t="str">
        <f t="shared" si="36"/>
        <v/>
      </c>
      <c r="AX148" s="111" t="str">
        <f t="shared" si="37"/>
        <v/>
      </c>
      <c r="AY148" s="111" t="str">
        <f t="shared" si="38"/>
        <v/>
      </c>
      <c r="AZ148" s="141"/>
      <c r="BA148" s="153" t="str">
        <f t="shared" si="39"/>
        <v>Débil</v>
      </c>
      <c r="BB148" s="22" t="str">
        <f>IFERROR(VLOOKUP((CONCATENATE(AY148,BA148)),Listados!$U$3:$V$11,2,FALSE),"")</f>
        <v/>
      </c>
      <c r="BC148" s="111">
        <f t="shared" si="40"/>
        <v>100</v>
      </c>
      <c r="BD148" s="717"/>
      <c r="BE148" s="761"/>
      <c r="BF148" s="717"/>
      <c r="BG148" s="717"/>
      <c r="BH148" s="713"/>
      <c r="BI148" s="715"/>
      <c r="BJ148" s="713"/>
      <c r="BK148" s="713"/>
      <c r="BL148" s="799"/>
      <c r="BM148" s="800"/>
      <c r="BN148" s="801"/>
      <c r="BO148" s="799"/>
      <c r="BP148" s="800"/>
      <c r="BQ148" s="801"/>
      <c r="BR148" s="799"/>
      <c r="BS148" s="800"/>
      <c r="BT148" s="801"/>
    </row>
    <row r="149" spans="1:72" ht="15" thickBot="1">
      <c r="A149" s="724"/>
      <c r="B149" s="777"/>
      <c r="C149" s="730"/>
      <c r="D149" s="736"/>
      <c r="E149" s="756"/>
      <c r="F149" s="770"/>
      <c r="G149" s="736"/>
      <c r="H149" s="764"/>
      <c r="I149" s="764"/>
      <c r="J149" s="764"/>
      <c r="K149" s="764"/>
      <c r="L149" s="764"/>
      <c r="M149" s="764"/>
      <c r="N149" s="764"/>
      <c r="O149" s="764"/>
      <c r="P149" s="764"/>
      <c r="Q149" s="764"/>
      <c r="R149" s="764"/>
      <c r="S149" s="764"/>
      <c r="T149" s="764"/>
      <c r="U149" s="764"/>
      <c r="V149" s="764"/>
      <c r="W149" s="764"/>
      <c r="X149" s="764"/>
      <c r="Y149" s="764"/>
      <c r="Z149" s="727"/>
      <c r="AA149" s="722"/>
      <c r="AB149" s="727"/>
      <c r="AC149" s="720"/>
      <c r="AD149" s="722" t="str">
        <f>+IF(OR(AB149=1,AB149&lt;=5),"Moderado",IF(OR(AB149=6,AB149&lt;=11),"Mayor","Catastrófico"))</f>
        <v>Moderado</v>
      </c>
      <c r="AE149" s="720"/>
      <c r="AF149" s="715"/>
      <c r="AG149" s="52" t="s">
        <v>467</v>
      </c>
      <c r="AH149" s="145"/>
      <c r="AI149" s="145"/>
      <c r="AJ149" s="145"/>
      <c r="AK149" s="28" t="str">
        <f t="shared" si="30"/>
        <v/>
      </c>
      <c r="AL149" s="145"/>
      <c r="AM149" s="28" t="str">
        <f t="shared" si="31"/>
        <v/>
      </c>
      <c r="AN149" s="140"/>
      <c r="AO149" s="28" t="str">
        <f t="shared" si="32"/>
        <v/>
      </c>
      <c r="AP149" s="140"/>
      <c r="AQ149" s="28" t="str">
        <f t="shared" si="33"/>
        <v/>
      </c>
      <c r="AR149" s="140"/>
      <c r="AS149" s="28" t="str">
        <f t="shared" si="34"/>
        <v/>
      </c>
      <c r="AT149" s="140"/>
      <c r="AU149" s="28" t="str">
        <f t="shared" si="35"/>
        <v/>
      </c>
      <c r="AV149" s="140"/>
      <c r="AW149" s="28" t="str">
        <f t="shared" si="36"/>
        <v/>
      </c>
      <c r="AX149" s="111" t="str">
        <f t="shared" si="37"/>
        <v/>
      </c>
      <c r="AY149" s="111" t="str">
        <f t="shared" si="38"/>
        <v/>
      </c>
      <c r="AZ149" s="141"/>
      <c r="BA149" s="153" t="str">
        <f t="shared" si="39"/>
        <v>Débil</v>
      </c>
      <c r="BB149" s="22" t="str">
        <f>IFERROR(VLOOKUP((CONCATENATE(AY149,BA149)),Listados!$U$3:$V$11,2,FALSE),"")</f>
        <v/>
      </c>
      <c r="BC149" s="111">
        <f t="shared" si="40"/>
        <v>100</v>
      </c>
      <c r="BD149" s="717"/>
      <c r="BE149" s="761"/>
      <c r="BF149" s="717"/>
      <c r="BG149" s="717"/>
      <c r="BH149" s="713"/>
      <c r="BI149" s="715"/>
      <c r="BJ149" s="713"/>
      <c r="BK149" s="713"/>
      <c r="BL149" s="799"/>
      <c r="BM149" s="800"/>
      <c r="BN149" s="801"/>
      <c r="BO149" s="799"/>
      <c r="BP149" s="800"/>
      <c r="BQ149" s="801"/>
      <c r="BR149" s="799"/>
      <c r="BS149" s="800"/>
      <c r="BT149" s="801"/>
    </row>
    <row r="150" spans="1:72" ht="15" thickBot="1">
      <c r="A150" s="725"/>
      <c r="B150" s="777"/>
      <c r="C150" s="731"/>
      <c r="D150" s="781"/>
      <c r="E150" s="757"/>
      <c r="F150" s="771"/>
      <c r="G150" s="736"/>
      <c r="H150" s="764"/>
      <c r="I150" s="764"/>
      <c r="J150" s="764"/>
      <c r="K150" s="764"/>
      <c r="L150" s="764"/>
      <c r="M150" s="764"/>
      <c r="N150" s="764"/>
      <c r="O150" s="764"/>
      <c r="P150" s="764"/>
      <c r="Q150" s="764"/>
      <c r="R150" s="764"/>
      <c r="S150" s="764"/>
      <c r="T150" s="764"/>
      <c r="U150" s="764"/>
      <c r="V150" s="764"/>
      <c r="W150" s="764"/>
      <c r="X150" s="764"/>
      <c r="Y150" s="764"/>
      <c r="Z150" s="727"/>
      <c r="AA150" s="722"/>
      <c r="AB150" s="727"/>
      <c r="AC150" s="721"/>
      <c r="AD150" s="722" t="str">
        <f>+IF(OR(AB150=1,AB150&lt;=5),"Moderado",IF(OR(AB150=6,AB150&lt;=11),"Mayor","Catastrófico"))</f>
        <v>Moderado</v>
      </c>
      <c r="AE150" s="721"/>
      <c r="AF150" s="715"/>
      <c r="AG150" s="52" t="s">
        <v>467</v>
      </c>
      <c r="AH150" s="145"/>
      <c r="AI150" s="145"/>
      <c r="AJ150" s="145"/>
      <c r="AK150" s="28" t="str">
        <f t="shared" si="30"/>
        <v/>
      </c>
      <c r="AL150" s="145"/>
      <c r="AM150" s="28" t="str">
        <f t="shared" si="31"/>
        <v/>
      </c>
      <c r="AN150" s="140"/>
      <c r="AO150" s="28" t="str">
        <f t="shared" si="32"/>
        <v/>
      </c>
      <c r="AP150" s="140"/>
      <c r="AQ150" s="28" t="str">
        <f t="shared" si="33"/>
        <v/>
      </c>
      <c r="AR150" s="140"/>
      <c r="AS150" s="28" t="str">
        <f t="shared" si="34"/>
        <v/>
      </c>
      <c r="AT150" s="140"/>
      <c r="AU150" s="28" t="str">
        <f t="shared" si="35"/>
        <v/>
      </c>
      <c r="AV150" s="140"/>
      <c r="AW150" s="28" t="str">
        <f t="shared" si="36"/>
        <v/>
      </c>
      <c r="AX150" s="111" t="str">
        <f t="shared" si="37"/>
        <v/>
      </c>
      <c r="AY150" s="111" t="str">
        <f t="shared" si="38"/>
        <v/>
      </c>
      <c r="AZ150" s="141"/>
      <c r="BA150" s="153" t="str">
        <f t="shared" si="39"/>
        <v>Débil</v>
      </c>
      <c r="BB150" s="22" t="str">
        <f>IFERROR(VLOOKUP((CONCATENATE(AY150,BA150)),Listados!$U$3:$V$11,2,FALSE),"")</f>
        <v/>
      </c>
      <c r="BC150" s="111">
        <f t="shared" si="40"/>
        <v>100</v>
      </c>
      <c r="BD150" s="718"/>
      <c r="BE150" s="761"/>
      <c r="BF150" s="718"/>
      <c r="BG150" s="718"/>
      <c r="BH150" s="714"/>
      <c r="BI150" s="715"/>
      <c r="BJ150" s="714"/>
      <c r="BK150" s="714"/>
      <c r="BL150" s="799"/>
      <c r="BM150" s="800"/>
      <c r="BN150" s="801"/>
      <c r="BO150" s="799"/>
      <c r="BP150" s="800"/>
      <c r="BQ150" s="801"/>
      <c r="BR150" s="799"/>
      <c r="BS150" s="800"/>
      <c r="BT150" s="801"/>
    </row>
    <row r="151" spans="1:72" ht="15" thickBot="1">
      <c r="A151" s="723">
        <v>25</v>
      </c>
      <c r="B151" s="776"/>
      <c r="C151" s="729" t="str">
        <f>IFERROR(VLOOKUP(B151,Listados!B$3:C$20,2,FALSE),"")</f>
        <v/>
      </c>
      <c r="D151" s="735" t="s">
        <v>584</v>
      </c>
      <c r="E151" s="105"/>
      <c r="F151" s="18"/>
      <c r="G151" s="735"/>
      <c r="H151" s="763"/>
      <c r="I151" s="763"/>
      <c r="J151" s="763"/>
      <c r="K151" s="763"/>
      <c r="L151" s="763"/>
      <c r="M151" s="763"/>
      <c r="N151" s="763"/>
      <c r="O151" s="763"/>
      <c r="P151" s="763"/>
      <c r="Q151" s="763"/>
      <c r="R151" s="763"/>
      <c r="S151" s="763"/>
      <c r="T151" s="763"/>
      <c r="U151" s="763"/>
      <c r="V151" s="763"/>
      <c r="W151" s="763"/>
      <c r="X151" s="763"/>
      <c r="Y151" s="763"/>
      <c r="Z151" s="762"/>
      <c r="AA151" s="721">
        <f>COUNTIF(H151:Z156, "SI")</f>
        <v>0</v>
      </c>
      <c r="AB151" s="762"/>
      <c r="AC151" s="719" t="e">
        <f>+VLOOKUP(AB151,Listados!$K$8:$L$12,2,0)</f>
        <v>#N/A</v>
      </c>
      <c r="AD151" s="721" t="str">
        <f>+IF(OR(AA151=1,AA151&lt;=5),"Moderado",IF(OR(AA151=6,AA151&lt;=11),"Mayor","Catastrófico"))</f>
        <v>Moderado</v>
      </c>
      <c r="AE151" s="719" t="e">
        <f>+VLOOKUP(AD151,Listados!K157:L161,2,0)</f>
        <v>#N/A</v>
      </c>
      <c r="AF151" s="714" t="str">
        <f>IF(AND(AB151&lt;&gt;"",AD151&lt;&gt;""),VLOOKUP(AB151&amp;AD151,Listados!$M$3:$N$27,2,FALSE),"")</f>
        <v/>
      </c>
      <c r="AG151" s="52" t="s">
        <v>467</v>
      </c>
      <c r="AH151" s="145"/>
      <c r="AI151" s="145"/>
      <c r="AJ151" s="145"/>
      <c r="AK151" s="28" t="str">
        <f t="shared" si="30"/>
        <v/>
      </c>
      <c r="AL151" s="145"/>
      <c r="AM151" s="28" t="str">
        <f t="shared" si="31"/>
        <v/>
      </c>
      <c r="AN151" s="140"/>
      <c r="AO151" s="28" t="str">
        <f t="shared" si="32"/>
        <v/>
      </c>
      <c r="AP151" s="140"/>
      <c r="AQ151" s="28" t="str">
        <f t="shared" si="33"/>
        <v/>
      </c>
      <c r="AR151" s="140"/>
      <c r="AS151" s="28" t="str">
        <f t="shared" si="34"/>
        <v/>
      </c>
      <c r="AT151" s="140"/>
      <c r="AU151" s="28" t="str">
        <f t="shared" si="35"/>
        <v/>
      </c>
      <c r="AV151" s="140"/>
      <c r="AW151" s="28" t="str">
        <f t="shared" si="36"/>
        <v/>
      </c>
      <c r="AX151" s="111" t="str">
        <f t="shared" si="37"/>
        <v/>
      </c>
      <c r="AY151" s="111" t="str">
        <f t="shared" si="38"/>
        <v/>
      </c>
      <c r="AZ151" s="141"/>
      <c r="BA151" s="153" t="str">
        <f t="shared" si="39"/>
        <v>Débil</v>
      </c>
      <c r="BB151" s="22" t="str">
        <f>IFERROR(VLOOKUP((CONCATENATE(AY151,BA151)),Listados!$U$3:$V$11,2,FALSE),"")</f>
        <v/>
      </c>
      <c r="BC151" s="111">
        <f t="shared" si="40"/>
        <v>100</v>
      </c>
      <c r="BD151" s="716">
        <f>AVERAGE(BC151:BC156)</f>
        <v>100</v>
      </c>
      <c r="BE151" s="718" t="str">
        <f>IF(BD151&lt;=50, "Débil", IF(BD151&lt;=99,"Moderado","Fuerte"))</f>
        <v>Fuerte</v>
      </c>
      <c r="BF151" s="716">
        <f>+IF(BE151="Fuerte",2,IF(BE151="Moderado",1,0))</f>
        <v>2</v>
      </c>
      <c r="BG151" s="716" t="e">
        <f>+AC151-BF151</f>
        <v>#N/A</v>
      </c>
      <c r="BH151" s="712" t="e">
        <f>+VLOOKUP(BG151,Listados!$J$18:$K$24,2,TRUE)</f>
        <v>#N/A</v>
      </c>
      <c r="BI151" s="714" t="str">
        <f>IF(ISBLANK(AD151),"",AD151)</f>
        <v>Moderado</v>
      </c>
      <c r="BJ151" s="712" t="e">
        <f>IF(AND(BH151&lt;&gt;"",BI151&lt;&gt;""),VLOOKUP(BH151&amp;BI151,Listados!$M$3:$N$27,2,FALSE),"")</f>
        <v>#N/A</v>
      </c>
      <c r="BK151" s="712" t="e">
        <f>+VLOOKUP(BJ151,Listados!$P$3:$Q$6,2,FALSE)</f>
        <v>#N/A</v>
      </c>
      <c r="BL151" s="799"/>
      <c r="BM151" s="800"/>
      <c r="BN151" s="801"/>
      <c r="BO151" s="799"/>
      <c r="BP151" s="800"/>
      <c r="BQ151" s="801"/>
      <c r="BR151" s="799"/>
      <c r="BS151" s="800"/>
      <c r="BT151" s="801"/>
    </row>
    <row r="152" spans="1:72" ht="15" thickBot="1">
      <c r="A152" s="724"/>
      <c r="B152" s="777"/>
      <c r="C152" s="730"/>
      <c r="D152" s="736"/>
      <c r="E152" s="161"/>
      <c r="F152" s="150"/>
      <c r="G152" s="736"/>
      <c r="H152" s="764"/>
      <c r="I152" s="764"/>
      <c r="J152" s="764"/>
      <c r="K152" s="764"/>
      <c r="L152" s="764"/>
      <c r="M152" s="764"/>
      <c r="N152" s="764"/>
      <c r="O152" s="764"/>
      <c r="P152" s="764"/>
      <c r="Q152" s="764"/>
      <c r="R152" s="764"/>
      <c r="S152" s="764"/>
      <c r="T152" s="764"/>
      <c r="U152" s="764"/>
      <c r="V152" s="764"/>
      <c r="W152" s="764"/>
      <c r="X152" s="764"/>
      <c r="Y152" s="764"/>
      <c r="Z152" s="727"/>
      <c r="AA152" s="722"/>
      <c r="AB152" s="727"/>
      <c r="AC152" s="720"/>
      <c r="AD152" s="722" t="str">
        <f>+IF(OR(AB152=1,AB152&lt;=5),"Moderado",IF(OR(AB152=6,AB152&lt;=11),"Mayor","Catastrófico"))</f>
        <v>Moderado</v>
      </c>
      <c r="AE152" s="720"/>
      <c r="AF152" s="715"/>
      <c r="AG152" s="52" t="s">
        <v>467</v>
      </c>
      <c r="AH152" s="145"/>
      <c r="AI152" s="145"/>
      <c r="AJ152" s="145"/>
      <c r="AK152" s="28" t="str">
        <f t="shared" si="30"/>
        <v/>
      </c>
      <c r="AL152" s="145"/>
      <c r="AM152" s="28" t="str">
        <f t="shared" si="31"/>
        <v/>
      </c>
      <c r="AN152" s="140"/>
      <c r="AO152" s="28" t="str">
        <f t="shared" si="32"/>
        <v/>
      </c>
      <c r="AP152" s="140"/>
      <c r="AQ152" s="28" t="str">
        <f t="shared" si="33"/>
        <v/>
      </c>
      <c r="AR152" s="140"/>
      <c r="AS152" s="28" t="str">
        <f t="shared" si="34"/>
        <v/>
      </c>
      <c r="AT152" s="140"/>
      <c r="AU152" s="28" t="str">
        <f t="shared" si="35"/>
        <v/>
      </c>
      <c r="AV152" s="140"/>
      <c r="AW152" s="28" t="str">
        <f t="shared" si="36"/>
        <v/>
      </c>
      <c r="AX152" s="111" t="str">
        <f t="shared" si="37"/>
        <v/>
      </c>
      <c r="AY152" s="111" t="str">
        <f t="shared" si="38"/>
        <v/>
      </c>
      <c r="AZ152" s="141"/>
      <c r="BA152" s="153" t="str">
        <f t="shared" si="39"/>
        <v>Débil</v>
      </c>
      <c r="BB152" s="22" t="str">
        <f>IFERROR(VLOOKUP((CONCATENATE(AY152,BA152)),Listados!$U$3:$V$11,2,FALSE),"")</f>
        <v/>
      </c>
      <c r="BC152" s="111">
        <f t="shared" si="40"/>
        <v>100</v>
      </c>
      <c r="BD152" s="717"/>
      <c r="BE152" s="761"/>
      <c r="BF152" s="717"/>
      <c r="BG152" s="717"/>
      <c r="BH152" s="713"/>
      <c r="BI152" s="715"/>
      <c r="BJ152" s="713"/>
      <c r="BK152" s="713"/>
      <c r="BL152" s="799"/>
      <c r="BM152" s="800"/>
      <c r="BN152" s="801"/>
      <c r="BO152" s="799"/>
      <c r="BP152" s="800"/>
      <c r="BQ152" s="801"/>
      <c r="BR152" s="799"/>
      <c r="BS152" s="800"/>
      <c r="BT152" s="801"/>
    </row>
    <row r="153" spans="1:72" ht="15" thickBot="1">
      <c r="A153" s="724"/>
      <c r="B153" s="777"/>
      <c r="C153" s="730"/>
      <c r="D153" s="736"/>
      <c r="E153" s="161"/>
      <c r="F153" s="150"/>
      <c r="G153" s="736"/>
      <c r="H153" s="764"/>
      <c r="I153" s="764"/>
      <c r="J153" s="764"/>
      <c r="K153" s="764"/>
      <c r="L153" s="764"/>
      <c r="M153" s="764"/>
      <c r="N153" s="764"/>
      <c r="O153" s="764"/>
      <c r="P153" s="764"/>
      <c r="Q153" s="764"/>
      <c r="R153" s="764"/>
      <c r="S153" s="764"/>
      <c r="T153" s="764"/>
      <c r="U153" s="764"/>
      <c r="V153" s="764"/>
      <c r="W153" s="764"/>
      <c r="X153" s="764"/>
      <c r="Y153" s="764"/>
      <c r="Z153" s="727"/>
      <c r="AA153" s="722"/>
      <c r="AB153" s="727"/>
      <c r="AC153" s="720"/>
      <c r="AD153" s="722" t="str">
        <f>+IF(OR(AB153=1,AB153&lt;=5),"Moderado",IF(OR(AB153=6,AB153&lt;=11),"Mayor","Catastrófico"))</f>
        <v>Moderado</v>
      </c>
      <c r="AE153" s="720"/>
      <c r="AF153" s="715"/>
      <c r="AG153" s="52" t="s">
        <v>467</v>
      </c>
      <c r="AH153" s="145"/>
      <c r="AI153" s="145"/>
      <c r="AJ153" s="145"/>
      <c r="AK153" s="28" t="str">
        <f t="shared" si="30"/>
        <v/>
      </c>
      <c r="AL153" s="145"/>
      <c r="AM153" s="28" t="str">
        <f t="shared" si="31"/>
        <v/>
      </c>
      <c r="AN153" s="140"/>
      <c r="AO153" s="28" t="str">
        <f t="shared" si="32"/>
        <v/>
      </c>
      <c r="AP153" s="140"/>
      <c r="AQ153" s="28" t="str">
        <f t="shared" si="33"/>
        <v/>
      </c>
      <c r="AR153" s="140"/>
      <c r="AS153" s="28" t="str">
        <f t="shared" si="34"/>
        <v/>
      </c>
      <c r="AT153" s="140"/>
      <c r="AU153" s="28" t="str">
        <f t="shared" si="35"/>
        <v/>
      </c>
      <c r="AV153" s="140"/>
      <c r="AW153" s="28" t="str">
        <f t="shared" si="36"/>
        <v/>
      </c>
      <c r="AX153" s="111" t="str">
        <f t="shared" si="37"/>
        <v/>
      </c>
      <c r="AY153" s="111" t="str">
        <f t="shared" si="38"/>
        <v/>
      </c>
      <c r="AZ153" s="141"/>
      <c r="BA153" s="153" t="str">
        <f t="shared" si="39"/>
        <v>Débil</v>
      </c>
      <c r="BB153" s="22" t="str">
        <f>IFERROR(VLOOKUP((CONCATENATE(AY153,BA153)),Listados!$U$3:$V$11,2,FALSE),"")</f>
        <v/>
      </c>
      <c r="BC153" s="111">
        <f t="shared" si="40"/>
        <v>100</v>
      </c>
      <c r="BD153" s="717"/>
      <c r="BE153" s="761"/>
      <c r="BF153" s="717"/>
      <c r="BG153" s="717"/>
      <c r="BH153" s="713"/>
      <c r="BI153" s="715"/>
      <c r="BJ153" s="713"/>
      <c r="BK153" s="713"/>
      <c r="BL153" s="799"/>
      <c r="BM153" s="800"/>
      <c r="BN153" s="801"/>
      <c r="BO153" s="799"/>
      <c r="BP153" s="800"/>
      <c r="BQ153" s="801"/>
      <c r="BR153" s="799"/>
      <c r="BS153" s="800"/>
      <c r="BT153" s="801"/>
    </row>
    <row r="154" spans="1:72" ht="15" thickBot="1">
      <c r="A154" s="724"/>
      <c r="B154" s="777"/>
      <c r="C154" s="730"/>
      <c r="D154" s="736"/>
      <c r="E154" s="755"/>
      <c r="F154" s="769"/>
      <c r="G154" s="736"/>
      <c r="H154" s="764"/>
      <c r="I154" s="764"/>
      <c r="J154" s="764"/>
      <c r="K154" s="764"/>
      <c r="L154" s="764"/>
      <c r="M154" s="764"/>
      <c r="N154" s="764"/>
      <c r="O154" s="764"/>
      <c r="P154" s="764"/>
      <c r="Q154" s="764"/>
      <c r="R154" s="764"/>
      <c r="S154" s="764"/>
      <c r="T154" s="764"/>
      <c r="U154" s="764"/>
      <c r="V154" s="764"/>
      <c r="W154" s="764"/>
      <c r="X154" s="764"/>
      <c r="Y154" s="764"/>
      <c r="Z154" s="727"/>
      <c r="AA154" s="722"/>
      <c r="AB154" s="727"/>
      <c r="AC154" s="720"/>
      <c r="AD154" s="722" t="str">
        <f>+IF(OR(AB154=1,AB154&lt;=5),"Moderado",IF(OR(AB154=6,AB154&lt;=11),"Mayor","Catastrófico"))</f>
        <v>Moderado</v>
      </c>
      <c r="AE154" s="720"/>
      <c r="AF154" s="715"/>
      <c r="AG154" s="52" t="s">
        <v>467</v>
      </c>
      <c r="AH154" s="145"/>
      <c r="AI154" s="145"/>
      <c r="AJ154" s="145"/>
      <c r="AK154" s="28" t="str">
        <f t="shared" si="30"/>
        <v/>
      </c>
      <c r="AL154" s="145"/>
      <c r="AM154" s="28" t="str">
        <f t="shared" si="31"/>
        <v/>
      </c>
      <c r="AN154" s="140"/>
      <c r="AO154" s="28" t="str">
        <f t="shared" si="32"/>
        <v/>
      </c>
      <c r="AP154" s="140"/>
      <c r="AQ154" s="28" t="str">
        <f t="shared" si="33"/>
        <v/>
      </c>
      <c r="AR154" s="140"/>
      <c r="AS154" s="28" t="str">
        <f t="shared" si="34"/>
        <v/>
      </c>
      <c r="AT154" s="140"/>
      <c r="AU154" s="28" t="str">
        <f t="shared" si="35"/>
        <v/>
      </c>
      <c r="AV154" s="140"/>
      <c r="AW154" s="28" t="str">
        <f t="shared" si="36"/>
        <v/>
      </c>
      <c r="AX154" s="111" t="str">
        <f t="shared" si="37"/>
        <v/>
      </c>
      <c r="AY154" s="111" t="str">
        <f t="shared" si="38"/>
        <v/>
      </c>
      <c r="AZ154" s="141"/>
      <c r="BA154" s="153" t="str">
        <f t="shared" si="39"/>
        <v>Débil</v>
      </c>
      <c r="BB154" s="22" t="str">
        <f>IFERROR(VLOOKUP((CONCATENATE(AY154,BA154)),Listados!$U$3:$V$11,2,FALSE),"")</f>
        <v/>
      </c>
      <c r="BC154" s="111">
        <f t="shared" si="40"/>
        <v>100</v>
      </c>
      <c r="BD154" s="717"/>
      <c r="BE154" s="761"/>
      <c r="BF154" s="717"/>
      <c r="BG154" s="717"/>
      <c r="BH154" s="713"/>
      <c r="BI154" s="715"/>
      <c r="BJ154" s="713"/>
      <c r="BK154" s="713"/>
      <c r="BL154" s="799"/>
      <c r="BM154" s="800"/>
      <c r="BN154" s="801"/>
      <c r="BO154" s="799"/>
      <c r="BP154" s="800"/>
      <c r="BQ154" s="801"/>
      <c r="BR154" s="799"/>
      <c r="BS154" s="800"/>
      <c r="BT154" s="801"/>
    </row>
    <row r="155" spans="1:72" ht="15" thickBot="1">
      <c r="A155" s="724"/>
      <c r="B155" s="777"/>
      <c r="C155" s="730"/>
      <c r="D155" s="736"/>
      <c r="E155" s="756"/>
      <c r="F155" s="770"/>
      <c r="G155" s="736"/>
      <c r="H155" s="764"/>
      <c r="I155" s="764"/>
      <c r="J155" s="764"/>
      <c r="K155" s="764"/>
      <c r="L155" s="764"/>
      <c r="M155" s="764"/>
      <c r="N155" s="764"/>
      <c r="O155" s="764"/>
      <c r="P155" s="764"/>
      <c r="Q155" s="764"/>
      <c r="R155" s="764"/>
      <c r="S155" s="764"/>
      <c r="T155" s="764"/>
      <c r="U155" s="764"/>
      <c r="V155" s="764"/>
      <c r="W155" s="764"/>
      <c r="X155" s="764"/>
      <c r="Y155" s="764"/>
      <c r="Z155" s="727"/>
      <c r="AA155" s="722"/>
      <c r="AB155" s="727"/>
      <c r="AC155" s="720"/>
      <c r="AD155" s="722" t="str">
        <f>+IF(OR(AB155=1,AB155&lt;=5),"Moderado",IF(OR(AB155=6,AB155&lt;=11),"Mayor","Catastrófico"))</f>
        <v>Moderado</v>
      </c>
      <c r="AE155" s="720"/>
      <c r="AF155" s="715"/>
      <c r="AG155" s="52" t="s">
        <v>467</v>
      </c>
      <c r="AH155" s="145"/>
      <c r="AI155" s="145"/>
      <c r="AJ155" s="145"/>
      <c r="AK155" s="28" t="str">
        <f t="shared" si="30"/>
        <v/>
      </c>
      <c r="AL155" s="145"/>
      <c r="AM155" s="28" t="str">
        <f t="shared" si="31"/>
        <v/>
      </c>
      <c r="AN155" s="140"/>
      <c r="AO155" s="28" t="str">
        <f t="shared" si="32"/>
        <v/>
      </c>
      <c r="AP155" s="140"/>
      <c r="AQ155" s="28" t="str">
        <f t="shared" si="33"/>
        <v/>
      </c>
      <c r="AR155" s="140"/>
      <c r="AS155" s="28" t="str">
        <f t="shared" si="34"/>
        <v/>
      </c>
      <c r="AT155" s="140"/>
      <c r="AU155" s="28" t="str">
        <f t="shared" si="35"/>
        <v/>
      </c>
      <c r="AV155" s="140"/>
      <c r="AW155" s="28" t="str">
        <f t="shared" si="36"/>
        <v/>
      </c>
      <c r="AX155" s="111" t="str">
        <f t="shared" si="37"/>
        <v/>
      </c>
      <c r="AY155" s="111" t="str">
        <f t="shared" si="38"/>
        <v/>
      </c>
      <c r="AZ155" s="141"/>
      <c r="BA155" s="153" t="str">
        <f t="shared" si="39"/>
        <v>Débil</v>
      </c>
      <c r="BB155" s="22" t="str">
        <f>IFERROR(VLOOKUP((CONCATENATE(AY155,BA155)),Listados!$U$3:$V$11,2,FALSE),"")</f>
        <v/>
      </c>
      <c r="BC155" s="111">
        <f t="shared" si="40"/>
        <v>100</v>
      </c>
      <c r="BD155" s="717"/>
      <c r="BE155" s="761"/>
      <c r="BF155" s="717"/>
      <c r="BG155" s="717"/>
      <c r="BH155" s="713"/>
      <c r="BI155" s="715"/>
      <c r="BJ155" s="713"/>
      <c r="BK155" s="713"/>
      <c r="BL155" s="799"/>
      <c r="BM155" s="800"/>
      <c r="BN155" s="801"/>
      <c r="BO155" s="799"/>
      <c r="BP155" s="800"/>
      <c r="BQ155" s="801"/>
      <c r="BR155" s="799"/>
      <c r="BS155" s="800"/>
      <c r="BT155" s="801"/>
    </row>
    <row r="156" spans="1:72" ht="15" thickBot="1">
      <c r="A156" s="725"/>
      <c r="B156" s="777"/>
      <c r="C156" s="731"/>
      <c r="D156" s="781"/>
      <c r="E156" s="757"/>
      <c r="F156" s="771"/>
      <c r="G156" s="736"/>
      <c r="H156" s="764"/>
      <c r="I156" s="764"/>
      <c r="J156" s="764"/>
      <c r="K156" s="764"/>
      <c r="L156" s="764"/>
      <c r="M156" s="764"/>
      <c r="N156" s="764"/>
      <c r="O156" s="764"/>
      <c r="P156" s="764"/>
      <c r="Q156" s="764"/>
      <c r="R156" s="764"/>
      <c r="S156" s="764"/>
      <c r="T156" s="764"/>
      <c r="U156" s="764"/>
      <c r="V156" s="764"/>
      <c r="W156" s="764"/>
      <c r="X156" s="764"/>
      <c r="Y156" s="764"/>
      <c r="Z156" s="727"/>
      <c r="AA156" s="722"/>
      <c r="AB156" s="727"/>
      <c r="AC156" s="721"/>
      <c r="AD156" s="722" t="str">
        <f>+IF(OR(AB156=1,AB156&lt;=5),"Moderado",IF(OR(AB156=6,AB156&lt;=11),"Mayor","Catastrófico"))</f>
        <v>Moderado</v>
      </c>
      <c r="AE156" s="721"/>
      <c r="AF156" s="715"/>
      <c r="AG156" s="52" t="s">
        <v>467</v>
      </c>
      <c r="AH156" s="145"/>
      <c r="AI156" s="145"/>
      <c r="AJ156" s="145"/>
      <c r="AK156" s="28" t="str">
        <f t="shared" si="30"/>
        <v/>
      </c>
      <c r="AL156" s="145"/>
      <c r="AM156" s="28" t="str">
        <f t="shared" si="31"/>
        <v/>
      </c>
      <c r="AN156" s="140"/>
      <c r="AO156" s="28" t="str">
        <f t="shared" si="32"/>
        <v/>
      </c>
      <c r="AP156" s="140"/>
      <c r="AQ156" s="28" t="str">
        <f t="shared" si="33"/>
        <v/>
      </c>
      <c r="AR156" s="140"/>
      <c r="AS156" s="28" t="str">
        <f t="shared" si="34"/>
        <v/>
      </c>
      <c r="AT156" s="140"/>
      <c r="AU156" s="28" t="str">
        <f t="shared" si="35"/>
        <v/>
      </c>
      <c r="AV156" s="140"/>
      <c r="AW156" s="28" t="str">
        <f t="shared" si="36"/>
        <v/>
      </c>
      <c r="AX156" s="111" t="str">
        <f t="shared" si="37"/>
        <v/>
      </c>
      <c r="AY156" s="111" t="str">
        <f t="shared" si="38"/>
        <v/>
      </c>
      <c r="AZ156" s="141"/>
      <c r="BA156" s="153" t="str">
        <f t="shared" si="39"/>
        <v>Débil</v>
      </c>
      <c r="BB156" s="22" t="str">
        <f>IFERROR(VLOOKUP((CONCATENATE(AY156,BA156)),Listados!$U$3:$V$11,2,FALSE),"")</f>
        <v/>
      </c>
      <c r="BC156" s="111">
        <f t="shared" si="40"/>
        <v>100</v>
      </c>
      <c r="BD156" s="718"/>
      <c r="BE156" s="761"/>
      <c r="BF156" s="718"/>
      <c r="BG156" s="718"/>
      <c r="BH156" s="714"/>
      <c r="BI156" s="715"/>
      <c r="BJ156" s="714"/>
      <c r="BK156" s="714"/>
      <c r="BL156" s="799"/>
      <c r="BM156" s="800"/>
      <c r="BN156" s="801"/>
      <c r="BO156" s="799"/>
      <c r="BP156" s="800"/>
      <c r="BQ156" s="801"/>
      <c r="BR156" s="799"/>
      <c r="BS156" s="800"/>
      <c r="BT156" s="801"/>
    </row>
    <row r="157" spans="1:72" ht="15" thickBot="1">
      <c r="A157" s="723">
        <v>26</v>
      </c>
      <c r="B157" s="776"/>
      <c r="C157" s="729" t="str">
        <f>IFERROR(VLOOKUP(B157,Listados!B$3:C$20,2,FALSE),"")</f>
        <v/>
      </c>
      <c r="D157" s="735" t="s">
        <v>584</v>
      </c>
      <c r="E157" s="105"/>
      <c r="F157" s="18"/>
      <c r="G157" s="735"/>
      <c r="H157" s="763"/>
      <c r="I157" s="763"/>
      <c r="J157" s="763"/>
      <c r="K157" s="763"/>
      <c r="L157" s="763"/>
      <c r="M157" s="763"/>
      <c r="N157" s="763"/>
      <c r="O157" s="763"/>
      <c r="P157" s="763"/>
      <c r="Q157" s="763"/>
      <c r="R157" s="763"/>
      <c r="S157" s="763"/>
      <c r="T157" s="763"/>
      <c r="U157" s="763"/>
      <c r="V157" s="763"/>
      <c r="W157" s="763"/>
      <c r="X157" s="763"/>
      <c r="Y157" s="763"/>
      <c r="Z157" s="762"/>
      <c r="AA157" s="721">
        <f>COUNTIF(H157:Z162, "SI")</f>
        <v>0</v>
      </c>
      <c r="AB157" s="762"/>
      <c r="AC157" s="719" t="e">
        <f>+VLOOKUP(AB157,Listados!$K$8:$L$12,2,0)</f>
        <v>#N/A</v>
      </c>
      <c r="AD157" s="721" t="str">
        <f>+IF(OR(AA157=1,AA157&lt;=5),"Moderado",IF(OR(AA157=6,AA157&lt;=11),"Mayor","Catastrófico"))</f>
        <v>Moderado</v>
      </c>
      <c r="AE157" s="719" t="e">
        <f>+VLOOKUP(AD157,Listados!K163:L167,2,0)</f>
        <v>#N/A</v>
      </c>
      <c r="AF157" s="714" t="str">
        <f>IF(AND(AB157&lt;&gt;"",AD157&lt;&gt;""),VLOOKUP(AB157&amp;AD157,Listados!$M$3:$N$27,2,FALSE),"")</f>
        <v/>
      </c>
      <c r="AG157" s="52" t="s">
        <v>467</v>
      </c>
      <c r="AH157" s="145"/>
      <c r="AI157" s="145"/>
      <c r="AJ157" s="145"/>
      <c r="AK157" s="28" t="str">
        <f t="shared" si="30"/>
        <v/>
      </c>
      <c r="AL157" s="145"/>
      <c r="AM157" s="28" t="str">
        <f t="shared" si="31"/>
        <v/>
      </c>
      <c r="AN157" s="140"/>
      <c r="AO157" s="28" t="str">
        <f t="shared" si="32"/>
        <v/>
      </c>
      <c r="AP157" s="140"/>
      <c r="AQ157" s="28" t="str">
        <f t="shared" si="33"/>
        <v/>
      </c>
      <c r="AR157" s="140"/>
      <c r="AS157" s="28" t="str">
        <f t="shared" si="34"/>
        <v/>
      </c>
      <c r="AT157" s="140"/>
      <c r="AU157" s="28" t="str">
        <f t="shared" si="35"/>
        <v/>
      </c>
      <c r="AV157" s="140"/>
      <c r="AW157" s="28" t="str">
        <f t="shared" si="36"/>
        <v/>
      </c>
      <c r="AX157" s="111" t="str">
        <f t="shared" si="37"/>
        <v/>
      </c>
      <c r="AY157" s="111" t="str">
        <f t="shared" si="38"/>
        <v/>
      </c>
      <c r="AZ157" s="141"/>
      <c r="BA157" s="153" t="str">
        <f t="shared" si="39"/>
        <v>Débil</v>
      </c>
      <c r="BB157" s="22" t="str">
        <f>IFERROR(VLOOKUP((CONCATENATE(AY157,BA157)),Listados!$U$3:$V$11,2,FALSE),"")</f>
        <v/>
      </c>
      <c r="BC157" s="111">
        <f t="shared" si="40"/>
        <v>100</v>
      </c>
      <c r="BD157" s="716">
        <f>AVERAGE(BC157:BC162)</f>
        <v>100</v>
      </c>
      <c r="BE157" s="718" t="str">
        <f>IF(BD157&lt;=50, "Débil", IF(BD157&lt;=99,"Moderado","Fuerte"))</f>
        <v>Fuerte</v>
      </c>
      <c r="BF157" s="716">
        <f>+IF(BE157="Fuerte",2,IF(BE157="Moderado",1,0))</f>
        <v>2</v>
      </c>
      <c r="BG157" s="716" t="e">
        <f>+AC157-BF157</f>
        <v>#N/A</v>
      </c>
      <c r="BH157" s="712" t="e">
        <f>+VLOOKUP(BG157,Listados!$J$18:$K$24,2,TRUE)</f>
        <v>#N/A</v>
      </c>
      <c r="BI157" s="714" t="str">
        <f>IF(ISBLANK(AD157),"",AD157)</f>
        <v>Moderado</v>
      </c>
      <c r="BJ157" s="712" t="e">
        <f>IF(AND(BH157&lt;&gt;"",BI157&lt;&gt;""),VLOOKUP(BH157&amp;BI157,Listados!$M$3:$N$27,2,FALSE),"")</f>
        <v>#N/A</v>
      </c>
      <c r="BK157" s="712" t="e">
        <f>+VLOOKUP(BJ157,Listados!$P$3:$Q$6,2,FALSE)</f>
        <v>#N/A</v>
      </c>
      <c r="BL157" s="799"/>
      <c r="BM157" s="800"/>
      <c r="BN157" s="801"/>
      <c r="BO157" s="799"/>
      <c r="BP157" s="800"/>
      <c r="BQ157" s="801"/>
      <c r="BR157" s="799"/>
      <c r="BS157" s="800"/>
      <c r="BT157" s="801"/>
    </row>
    <row r="158" spans="1:72" ht="15" thickBot="1">
      <c r="A158" s="724"/>
      <c r="B158" s="777"/>
      <c r="C158" s="730"/>
      <c r="D158" s="736"/>
      <c r="E158" s="161"/>
      <c r="F158" s="150"/>
      <c r="G158" s="736"/>
      <c r="H158" s="764"/>
      <c r="I158" s="764"/>
      <c r="J158" s="764"/>
      <c r="K158" s="764"/>
      <c r="L158" s="764"/>
      <c r="M158" s="764"/>
      <c r="N158" s="764"/>
      <c r="O158" s="764"/>
      <c r="P158" s="764"/>
      <c r="Q158" s="764"/>
      <c r="R158" s="764"/>
      <c r="S158" s="764"/>
      <c r="T158" s="764"/>
      <c r="U158" s="764"/>
      <c r="V158" s="764"/>
      <c r="W158" s="764"/>
      <c r="X158" s="764"/>
      <c r="Y158" s="764"/>
      <c r="Z158" s="727"/>
      <c r="AA158" s="722"/>
      <c r="AB158" s="727"/>
      <c r="AC158" s="720"/>
      <c r="AD158" s="722" t="str">
        <f>+IF(OR(AB158=1,AB158&lt;=5),"Moderado",IF(OR(AB158=6,AB158&lt;=11),"Mayor","Catastrófico"))</f>
        <v>Moderado</v>
      </c>
      <c r="AE158" s="720"/>
      <c r="AF158" s="715"/>
      <c r="AG158" s="52" t="s">
        <v>467</v>
      </c>
      <c r="AH158" s="145"/>
      <c r="AI158" s="145"/>
      <c r="AJ158" s="145"/>
      <c r="AK158" s="28" t="str">
        <f t="shared" si="30"/>
        <v/>
      </c>
      <c r="AL158" s="145"/>
      <c r="AM158" s="28" t="str">
        <f t="shared" si="31"/>
        <v/>
      </c>
      <c r="AN158" s="140"/>
      <c r="AO158" s="28" t="str">
        <f t="shared" si="32"/>
        <v/>
      </c>
      <c r="AP158" s="140"/>
      <c r="AQ158" s="28" t="str">
        <f t="shared" si="33"/>
        <v/>
      </c>
      <c r="AR158" s="140"/>
      <c r="AS158" s="28" t="str">
        <f t="shared" si="34"/>
        <v/>
      </c>
      <c r="AT158" s="140"/>
      <c r="AU158" s="28" t="str">
        <f t="shared" si="35"/>
        <v/>
      </c>
      <c r="AV158" s="140"/>
      <c r="AW158" s="28" t="str">
        <f t="shared" si="36"/>
        <v/>
      </c>
      <c r="AX158" s="111" t="str">
        <f t="shared" si="37"/>
        <v/>
      </c>
      <c r="AY158" s="111" t="str">
        <f t="shared" si="38"/>
        <v/>
      </c>
      <c r="AZ158" s="141"/>
      <c r="BA158" s="153" t="str">
        <f t="shared" si="39"/>
        <v>Débil</v>
      </c>
      <c r="BB158" s="22" t="str">
        <f>IFERROR(VLOOKUP((CONCATENATE(AY158,BA158)),Listados!$U$3:$V$11,2,FALSE),"")</f>
        <v/>
      </c>
      <c r="BC158" s="111">
        <f t="shared" si="40"/>
        <v>100</v>
      </c>
      <c r="BD158" s="717"/>
      <c r="BE158" s="761"/>
      <c r="BF158" s="717"/>
      <c r="BG158" s="717"/>
      <c r="BH158" s="713"/>
      <c r="BI158" s="715"/>
      <c r="BJ158" s="713"/>
      <c r="BK158" s="713"/>
      <c r="BL158" s="799"/>
      <c r="BM158" s="800"/>
      <c r="BN158" s="801"/>
      <c r="BO158" s="799"/>
      <c r="BP158" s="800"/>
      <c r="BQ158" s="801"/>
      <c r="BR158" s="799"/>
      <c r="BS158" s="800"/>
      <c r="BT158" s="801"/>
    </row>
    <row r="159" spans="1:72" ht="15" thickBot="1">
      <c r="A159" s="724"/>
      <c r="B159" s="777"/>
      <c r="C159" s="730"/>
      <c r="D159" s="736"/>
      <c r="E159" s="161"/>
      <c r="F159" s="150"/>
      <c r="G159" s="736"/>
      <c r="H159" s="764"/>
      <c r="I159" s="764"/>
      <c r="J159" s="764"/>
      <c r="K159" s="764"/>
      <c r="L159" s="764"/>
      <c r="M159" s="764"/>
      <c r="N159" s="764"/>
      <c r="O159" s="764"/>
      <c r="P159" s="764"/>
      <c r="Q159" s="764"/>
      <c r="R159" s="764"/>
      <c r="S159" s="764"/>
      <c r="T159" s="764"/>
      <c r="U159" s="764"/>
      <c r="V159" s="764"/>
      <c r="W159" s="764"/>
      <c r="X159" s="764"/>
      <c r="Y159" s="764"/>
      <c r="Z159" s="727"/>
      <c r="AA159" s="722"/>
      <c r="AB159" s="727"/>
      <c r="AC159" s="720"/>
      <c r="AD159" s="722" t="str">
        <f>+IF(OR(AB159=1,AB159&lt;=5),"Moderado",IF(OR(AB159=6,AB159&lt;=11),"Mayor","Catastrófico"))</f>
        <v>Moderado</v>
      </c>
      <c r="AE159" s="720"/>
      <c r="AF159" s="715"/>
      <c r="AG159" s="52" t="s">
        <v>467</v>
      </c>
      <c r="AH159" s="145"/>
      <c r="AI159" s="145"/>
      <c r="AJ159" s="145"/>
      <c r="AK159" s="28" t="str">
        <f t="shared" si="30"/>
        <v/>
      </c>
      <c r="AL159" s="145"/>
      <c r="AM159" s="28" t="str">
        <f t="shared" si="31"/>
        <v/>
      </c>
      <c r="AN159" s="140"/>
      <c r="AO159" s="28" t="str">
        <f t="shared" si="32"/>
        <v/>
      </c>
      <c r="AP159" s="140"/>
      <c r="AQ159" s="28" t="str">
        <f t="shared" si="33"/>
        <v/>
      </c>
      <c r="AR159" s="140"/>
      <c r="AS159" s="28" t="str">
        <f t="shared" si="34"/>
        <v/>
      </c>
      <c r="AT159" s="140"/>
      <c r="AU159" s="28" t="str">
        <f t="shared" si="35"/>
        <v/>
      </c>
      <c r="AV159" s="140"/>
      <c r="AW159" s="28" t="str">
        <f t="shared" si="36"/>
        <v/>
      </c>
      <c r="AX159" s="111" t="str">
        <f t="shared" si="37"/>
        <v/>
      </c>
      <c r="AY159" s="111" t="str">
        <f t="shared" si="38"/>
        <v/>
      </c>
      <c r="AZ159" s="141"/>
      <c r="BA159" s="153" t="str">
        <f t="shared" si="39"/>
        <v>Débil</v>
      </c>
      <c r="BB159" s="22" t="str">
        <f>IFERROR(VLOOKUP((CONCATENATE(AY159,BA159)),Listados!$U$3:$V$11,2,FALSE),"")</f>
        <v/>
      </c>
      <c r="BC159" s="111">
        <f t="shared" si="40"/>
        <v>100</v>
      </c>
      <c r="BD159" s="717"/>
      <c r="BE159" s="761"/>
      <c r="BF159" s="717"/>
      <c r="BG159" s="717"/>
      <c r="BH159" s="713"/>
      <c r="BI159" s="715"/>
      <c r="BJ159" s="713"/>
      <c r="BK159" s="713"/>
      <c r="BL159" s="799"/>
      <c r="BM159" s="800"/>
      <c r="BN159" s="801"/>
      <c r="BO159" s="799"/>
      <c r="BP159" s="800"/>
      <c r="BQ159" s="801"/>
      <c r="BR159" s="799"/>
      <c r="BS159" s="800"/>
      <c r="BT159" s="801"/>
    </row>
    <row r="160" spans="1:72" ht="15" thickBot="1">
      <c r="A160" s="724"/>
      <c r="B160" s="777"/>
      <c r="C160" s="730"/>
      <c r="D160" s="736"/>
      <c r="E160" s="755"/>
      <c r="F160" s="769"/>
      <c r="G160" s="736"/>
      <c r="H160" s="764"/>
      <c r="I160" s="764"/>
      <c r="J160" s="764"/>
      <c r="K160" s="764"/>
      <c r="L160" s="764"/>
      <c r="M160" s="764"/>
      <c r="N160" s="764"/>
      <c r="O160" s="764"/>
      <c r="P160" s="764"/>
      <c r="Q160" s="764"/>
      <c r="R160" s="764"/>
      <c r="S160" s="764"/>
      <c r="T160" s="764"/>
      <c r="U160" s="764"/>
      <c r="V160" s="764"/>
      <c r="W160" s="764"/>
      <c r="X160" s="764"/>
      <c r="Y160" s="764"/>
      <c r="Z160" s="727"/>
      <c r="AA160" s="722"/>
      <c r="AB160" s="727"/>
      <c r="AC160" s="720"/>
      <c r="AD160" s="722" t="str">
        <f>+IF(OR(AB160=1,AB160&lt;=5),"Moderado",IF(OR(AB160=6,AB160&lt;=11),"Mayor","Catastrófico"))</f>
        <v>Moderado</v>
      </c>
      <c r="AE160" s="720"/>
      <c r="AF160" s="715"/>
      <c r="AG160" s="52" t="s">
        <v>467</v>
      </c>
      <c r="AH160" s="145"/>
      <c r="AI160" s="145"/>
      <c r="AJ160" s="145"/>
      <c r="AK160" s="28" t="str">
        <f t="shared" si="30"/>
        <v/>
      </c>
      <c r="AL160" s="145"/>
      <c r="AM160" s="28" t="str">
        <f t="shared" si="31"/>
        <v/>
      </c>
      <c r="AN160" s="140"/>
      <c r="AO160" s="28" t="str">
        <f t="shared" si="32"/>
        <v/>
      </c>
      <c r="AP160" s="140"/>
      <c r="AQ160" s="28" t="str">
        <f t="shared" si="33"/>
        <v/>
      </c>
      <c r="AR160" s="140"/>
      <c r="AS160" s="28" t="str">
        <f t="shared" si="34"/>
        <v/>
      </c>
      <c r="AT160" s="140"/>
      <c r="AU160" s="28" t="str">
        <f t="shared" si="35"/>
        <v/>
      </c>
      <c r="AV160" s="140"/>
      <c r="AW160" s="28" t="str">
        <f t="shared" si="36"/>
        <v/>
      </c>
      <c r="AX160" s="111" t="str">
        <f t="shared" si="37"/>
        <v/>
      </c>
      <c r="AY160" s="111" t="str">
        <f t="shared" si="38"/>
        <v/>
      </c>
      <c r="AZ160" s="141"/>
      <c r="BA160" s="153" t="str">
        <f t="shared" si="39"/>
        <v>Débil</v>
      </c>
      <c r="BB160" s="22" t="str">
        <f>IFERROR(VLOOKUP((CONCATENATE(AY160,BA160)),Listados!$U$3:$V$11,2,FALSE),"")</f>
        <v/>
      </c>
      <c r="BC160" s="111">
        <f t="shared" si="40"/>
        <v>100</v>
      </c>
      <c r="BD160" s="717"/>
      <c r="BE160" s="761"/>
      <c r="BF160" s="717"/>
      <c r="BG160" s="717"/>
      <c r="BH160" s="713"/>
      <c r="BI160" s="715"/>
      <c r="BJ160" s="713"/>
      <c r="BK160" s="713"/>
      <c r="BL160" s="799"/>
      <c r="BM160" s="800"/>
      <c r="BN160" s="801"/>
      <c r="BO160" s="799"/>
      <c r="BP160" s="800"/>
      <c r="BQ160" s="801"/>
      <c r="BR160" s="799"/>
      <c r="BS160" s="800"/>
      <c r="BT160" s="801"/>
    </row>
    <row r="161" spans="1:72" ht="15" thickBot="1">
      <c r="A161" s="724"/>
      <c r="B161" s="777"/>
      <c r="C161" s="730"/>
      <c r="D161" s="736"/>
      <c r="E161" s="756"/>
      <c r="F161" s="770"/>
      <c r="G161" s="736"/>
      <c r="H161" s="764"/>
      <c r="I161" s="764"/>
      <c r="J161" s="764"/>
      <c r="K161" s="764"/>
      <c r="L161" s="764"/>
      <c r="M161" s="764"/>
      <c r="N161" s="764"/>
      <c r="O161" s="764"/>
      <c r="P161" s="764"/>
      <c r="Q161" s="764"/>
      <c r="R161" s="764"/>
      <c r="S161" s="764"/>
      <c r="T161" s="764"/>
      <c r="U161" s="764"/>
      <c r="V161" s="764"/>
      <c r="W161" s="764"/>
      <c r="X161" s="764"/>
      <c r="Y161" s="764"/>
      <c r="Z161" s="727"/>
      <c r="AA161" s="722"/>
      <c r="AB161" s="727"/>
      <c r="AC161" s="720"/>
      <c r="AD161" s="722" t="str">
        <f>+IF(OR(AB161=1,AB161&lt;=5),"Moderado",IF(OR(AB161=6,AB161&lt;=11),"Mayor","Catastrófico"))</f>
        <v>Moderado</v>
      </c>
      <c r="AE161" s="720"/>
      <c r="AF161" s="715"/>
      <c r="AG161" s="52" t="s">
        <v>467</v>
      </c>
      <c r="AH161" s="145"/>
      <c r="AI161" s="145"/>
      <c r="AJ161" s="145"/>
      <c r="AK161" s="28" t="str">
        <f t="shared" si="30"/>
        <v/>
      </c>
      <c r="AL161" s="145"/>
      <c r="AM161" s="28" t="str">
        <f t="shared" si="31"/>
        <v/>
      </c>
      <c r="AN161" s="140"/>
      <c r="AO161" s="28" t="str">
        <f t="shared" si="32"/>
        <v/>
      </c>
      <c r="AP161" s="140"/>
      <c r="AQ161" s="28" t="str">
        <f t="shared" si="33"/>
        <v/>
      </c>
      <c r="AR161" s="140"/>
      <c r="AS161" s="28" t="str">
        <f t="shared" si="34"/>
        <v/>
      </c>
      <c r="AT161" s="140"/>
      <c r="AU161" s="28" t="str">
        <f t="shared" si="35"/>
        <v/>
      </c>
      <c r="AV161" s="140"/>
      <c r="AW161" s="28" t="str">
        <f t="shared" si="36"/>
        <v/>
      </c>
      <c r="AX161" s="111" t="str">
        <f t="shared" si="37"/>
        <v/>
      </c>
      <c r="AY161" s="111" t="str">
        <f t="shared" si="38"/>
        <v/>
      </c>
      <c r="AZ161" s="141"/>
      <c r="BA161" s="153" t="str">
        <f t="shared" si="39"/>
        <v>Débil</v>
      </c>
      <c r="BB161" s="22" t="str">
        <f>IFERROR(VLOOKUP((CONCATENATE(AY161,BA161)),Listados!$U$3:$V$11,2,FALSE),"")</f>
        <v/>
      </c>
      <c r="BC161" s="111">
        <f t="shared" si="40"/>
        <v>100</v>
      </c>
      <c r="BD161" s="717"/>
      <c r="BE161" s="761"/>
      <c r="BF161" s="717"/>
      <c r="BG161" s="717"/>
      <c r="BH161" s="713"/>
      <c r="BI161" s="715"/>
      <c r="BJ161" s="713"/>
      <c r="BK161" s="713"/>
      <c r="BL161" s="799"/>
      <c r="BM161" s="800"/>
      <c r="BN161" s="801"/>
      <c r="BO161" s="799"/>
      <c r="BP161" s="800"/>
      <c r="BQ161" s="801"/>
      <c r="BR161" s="799"/>
      <c r="BS161" s="800"/>
      <c r="BT161" s="801"/>
    </row>
    <row r="162" spans="1:72" ht="15" thickBot="1">
      <c r="A162" s="725"/>
      <c r="B162" s="777"/>
      <c r="C162" s="731"/>
      <c r="D162" s="781"/>
      <c r="E162" s="757"/>
      <c r="F162" s="771"/>
      <c r="G162" s="736"/>
      <c r="H162" s="764"/>
      <c r="I162" s="764"/>
      <c r="J162" s="764"/>
      <c r="K162" s="764"/>
      <c r="L162" s="764"/>
      <c r="M162" s="764"/>
      <c r="N162" s="764"/>
      <c r="O162" s="764"/>
      <c r="P162" s="764"/>
      <c r="Q162" s="764"/>
      <c r="R162" s="764"/>
      <c r="S162" s="764"/>
      <c r="T162" s="764"/>
      <c r="U162" s="764"/>
      <c r="V162" s="764"/>
      <c r="W162" s="764"/>
      <c r="X162" s="764"/>
      <c r="Y162" s="764"/>
      <c r="Z162" s="727"/>
      <c r="AA162" s="722"/>
      <c r="AB162" s="727"/>
      <c r="AC162" s="721"/>
      <c r="AD162" s="722" t="str">
        <f>+IF(OR(AB162=1,AB162&lt;=5),"Moderado",IF(OR(AB162=6,AB162&lt;=11),"Mayor","Catastrófico"))</f>
        <v>Moderado</v>
      </c>
      <c r="AE162" s="721"/>
      <c r="AF162" s="715"/>
      <c r="AG162" s="52" t="s">
        <v>467</v>
      </c>
      <c r="AH162" s="145"/>
      <c r="AI162" s="145"/>
      <c r="AJ162" s="145"/>
      <c r="AK162" s="28" t="str">
        <f t="shared" si="30"/>
        <v/>
      </c>
      <c r="AL162" s="145"/>
      <c r="AM162" s="28" t="str">
        <f t="shared" si="31"/>
        <v/>
      </c>
      <c r="AN162" s="140"/>
      <c r="AO162" s="28" t="str">
        <f t="shared" si="32"/>
        <v/>
      </c>
      <c r="AP162" s="140"/>
      <c r="AQ162" s="28" t="str">
        <f t="shared" si="33"/>
        <v/>
      </c>
      <c r="AR162" s="140"/>
      <c r="AS162" s="28" t="str">
        <f t="shared" si="34"/>
        <v/>
      </c>
      <c r="AT162" s="140"/>
      <c r="AU162" s="28" t="str">
        <f t="shared" si="35"/>
        <v/>
      </c>
      <c r="AV162" s="140"/>
      <c r="AW162" s="28" t="str">
        <f t="shared" si="36"/>
        <v/>
      </c>
      <c r="AX162" s="111" t="str">
        <f t="shared" si="37"/>
        <v/>
      </c>
      <c r="AY162" s="111" t="str">
        <f t="shared" si="38"/>
        <v/>
      </c>
      <c r="AZ162" s="141"/>
      <c r="BA162" s="153" t="str">
        <f t="shared" si="39"/>
        <v>Débil</v>
      </c>
      <c r="BB162" s="22" t="str">
        <f>IFERROR(VLOOKUP((CONCATENATE(AY162,BA162)),Listados!$U$3:$V$11,2,FALSE),"")</f>
        <v/>
      </c>
      <c r="BC162" s="111">
        <f t="shared" si="40"/>
        <v>100</v>
      </c>
      <c r="BD162" s="718"/>
      <c r="BE162" s="761"/>
      <c r="BF162" s="718"/>
      <c r="BG162" s="718"/>
      <c r="BH162" s="714"/>
      <c r="BI162" s="715"/>
      <c r="BJ162" s="714"/>
      <c r="BK162" s="714"/>
      <c r="BL162" s="799"/>
      <c r="BM162" s="800"/>
      <c r="BN162" s="801"/>
      <c r="BO162" s="799"/>
      <c r="BP162" s="800"/>
      <c r="BQ162" s="801"/>
      <c r="BR162" s="799"/>
      <c r="BS162" s="800"/>
      <c r="BT162" s="801"/>
    </row>
    <row r="163" spans="1:72" ht="15" thickBot="1">
      <c r="A163" s="723">
        <v>27</v>
      </c>
      <c r="B163" s="776"/>
      <c r="C163" s="729" t="str">
        <f>IFERROR(VLOOKUP(B163,Listados!B$3:C$20,2,FALSE),"")</f>
        <v/>
      </c>
      <c r="D163" s="735" t="s">
        <v>584</v>
      </c>
      <c r="E163" s="105"/>
      <c r="F163" s="18"/>
      <c r="G163" s="735"/>
      <c r="H163" s="763"/>
      <c r="I163" s="763"/>
      <c r="J163" s="763"/>
      <c r="K163" s="763"/>
      <c r="L163" s="763"/>
      <c r="M163" s="763"/>
      <c r="N163" s="763"/>
      <c r="O163" s="763"/>
      <c r="P163" s="763"/>
      <c r="Q163" s="763"/>
      <c r="R163" s="763"/>
      <c r="S163" s="763"/>
      <c r="T163" s="763"/>
      <c r="U163" s="763"/>
      <c r="V163" s="763"/>
      <c r="W163" s="763"/>
      <c r="X163" s="763"/>
      <c r="Y163" s="763"/>
      <c r="Z163" s="762"/>
      <c r="AA163" s="721">
        <f>COUNTIF(H163:Z168, "SI")</f>
        <v>0</v>
      </c>
      <c r="AB163" s="762"/>
      <c r="AC163" s="719" t="e">
        <f>+VLOOKUP(AB163,Listados!$K$8:$L$12,2,0)</f>
        <v>#N/A</v>
      </c>
      <c r="AD163" s="721" t="str">
        <f>+IF(OR(AA163=1,AA163&lt;=5),"Moderado",IF(OR(AA163=6,AA163&lt;=11),"Mayor","Catastrófico"))</f>
        <v>Moderado</v>
      </c>
      <c r="AE163" s="719" t="e">
        <f>+VLOOKUP(AD163,Listados!K169:L173,2,0)</f>
        <v>#N/A</v>
      </c>
      <c r="AF163" s="714" t="str">
        <f>IF(AND(AB163&lt;&gt;"",AD163&lt;&gt;""),VLOOKUP(AB163&amp;AD163,Listados!$M$3:$N$27,2,FALSE),"")</f>
        <v/>
      </c>
      <c r="AG163" s="52" t="s">
        <v>467</v>
      </c>
      <c r="AH163" s="145"/>
      <c r="AI163" s="145"/>
      <c r="AJ163" s="145"/>
      <c r="AK163" s="28" t="str">
        <f t="shared" si="30"/>
        <v/>
      </c>
      <c r="AL163" s="145"/>
      <c r="AM163" s="28" t="str">
        <f t="shared" si="31"/>
        <v/>
      </c>
      <c r="AN163" s="140"/>
      <c r="AO163" s="28" t="str">
        <f t="shared" si="32"/>
        <v/>
      </c>
      <c r="AP163" s="140"/>
      <c r="AQ163" s="28" t="str">
        <f t="shared" si="33"/>
        <v/>
      </c>
      <c r="AR163" s="140"/>
      <c r="AS163" s="28" t="str">
        <f t="shared" si="34"/>
        <v/>
      </c>
      <c r="AT163" s="140"/>
      <c r="AU163" s="28" t="str">
        <f t="shared" si="35"/>
        <v/>
      </c>
      <c r="AV163" s="140"/>
      <c r="AW163" s="28" t="str">
        <f t="shared" si="36"/>
        <v/>
      </c>
      <c r="AX163" s="111" t="str">
        <f t="shared" si="37"/>
        <v/>
      </c>
      <c r="AY163" s="111" t="str">
        <f t="shared" si="38"/>
        <v/>
      </c>
      <c r="AZ163" s="141"/>
      <c r="BA163" s="153" t="str">
        <f t="shared" si="39"/>
        <v>Débil</v>
      </c>
      <c r="BB163" s="22" t="str">
        <f>IFERROR(VLOOKUP((CONCATENATE(AY163,BA163)),Listados!$U$3:$V$11,2,FALSE),"")</f>
        <v/>
      </c>
      <c r="BC163" s="111">
        <f t="shared" si="40"/>
        <v>100</v>
      </c>
      <c r="BD163" s="716">
        <f>AVERAGE(BC163:BC168)</f>
        <v>100</v>
      </c>
      <c r="BE163" s="718" t="str">
        <f>IF(BD163&lt;=50, "Débil", IF(BD163&lt;=99,"Moderado","Fuerte"))</f>
        <v>Fuerte</v>
      </c>
      <c r="BF163" s="716">
        <f>+IF(BE163="Fuerte",2,IF(BE163="Moderado",1,0))</f>
        <v>2</v>
      </c>
      <c r="BG163" s="716" t="e">
        <f>+AC163-BF163</f>
        <v>#N/A</v>
      </c>
      <c r="BH163" s="712" t="e">
        <f>+VLOOKUP(BG163,Listados!$J$18:$K$24,2,TRUE)</f>
        <v>#N/A</v>
      </c>
      <c r="BI163" s="714" t="str">
        <f>IF(ISBLANK(AD163),"",AD163)</f>
        <v>Moderado</v>
      </c>
      <c r="BJ163" s="712" t="e">
        <f>IF(AND(BH163&lt;&gt;"",BI163&lt;&gt;""),VLOOKUP(BH163&amp;BI163,Listados!$M$3:$N$27,2,FALSE),"")</f>
        <v>#N/A</v>
      </c>
      <c r="BK163" s="712" t="e">
        <f>+VLOOKUP(BJ163,Listados!$P$3:$Q$6,2,FALSE)</f>
        <v>#N/A</v>
      </c>
      <c r="BL163" s="799"/>
      <c r="BM163" s="800"/>
      <c r="BN163" s="801"/>
      <c r="BO163" s="799"/>
      <c r="BP163" s="800"/>
      <c r="BQ163" s="801"/>
      <c r="BR163" s="799"/>
      <c r="BS163" s="800"/>
      <c r="BT163" s="801"/>
    </row>
    <row r="164" spans="1:72" ht="15" thickBot="1">
      <c r="A164" s="724"/>
      <c r="B164" s="777"/>
      <c r="C164" s="730"/>
      <c r="D164" s="736"/>
      <c r="E164" s="161"/>
      <c r="F164" s="150"/>
      <c r="G164" s="736"/>
      <c r="H164" s="764"/>
      <c r="I164" s="764"/>
      <c r="J164" s="764"/>
      <c r="K164" s="764"/>
      <c r="L164" s="764"/>
      <c r="M164" s="764"/>
      <c r="N164" s="764"/>
      <c r="O164" s="764"/>
      <c r="P164" s="764"/>
      <c r="Q164" s="764"/>
      <c r="R164" s="764"/>
      <c r="S164" s="764"/>
      <c r="T164" s="764"/>
      <c r="U164" s="764"/>
      <c r="V164" s="764"/>
      <c r="W164" s="764"/>
      <c r="X164" s="764"/>
      <c r="Y164" s="764"/>
      <c r="Z164" s="727"/>
      <c r="AA164" s="722"/>
      <c r="AB164" s="727"/>
      <c r="AC164" s="720"/>
      <c r="AD164" s="722" t="str">
        <f>+IF(OR(AB164=1,AB164&lt;=5),"Moderado",IF(OR(AB164=6,AB164&lt;=11),"Mayor","Catastrófico"))</f>
        <v>Moderado</v>
      </c>
      <c r="AE164" s="720"/>
      <c r="AF164" s="715"/>
      <c r="AG164" s="52" t="s">
        <v>467</v>
      </c>
      <c r="AH164" s="145"/>
      <c r="AI164" s="145"/>
      <c r="AJ164" s="145"/>
      <c r="AK164" s="28" t="str">
        <f t="shared" si="30"/>
        <v/>
      </c>
      <c r="AL164" s="145"/>
      <c r="AM164" s="28" t="str">
        <f t="shared" si="31"/>
        <v/>
      </c>
      <c r="AN164" s="140"/>
      <c r="AO164" s="28" t="str">
        <f t="shared" si="32"/>
        <v/>
      </c>
      <c r="AP164" s="140"/>
      <c r="AQ164" s="28" t="str">
        <f t="shared" si="33"/>
        <v/>
      </c>
      <c r="AR164" s="140"/>
      <c r="AS164" s="28" t="str">
        <f t="shared" si="34"/>
        <v/>
      </c>
      <c r="AT164" s="140"/>
      <c r="AU164" s="28" t="str">
        <f t="shared" si="35"/>
        <v/>
      </c>
      <c r="AV164" s="140"/>
      <c r="AW164" s="28" t="str">
        <f t="shared" si="36"/>
        <v/>
      </c>
      <c r="AX164" s="111" t="str">
        <f t="shared" si="37"/>
        <v/>
      </c>
      <c r="AY164" s="111" t="str">
        <f t="shared" si="38"/>
        <v/>
      </c>
      <c r="AZ164" s="141"/>
      <c r="BA164" s="153" t="str">
        <f t="shared" si="39"/>
        <v>Débil</v>
      </c>
      <c r="BB164" s="22" t="str">
        <f>IFERROR(VLOOKUP((CONCATENATE(AY164,BA164)),Listados!$U$3:$V$11,2,FALSE),"")</f>
        <v/>
      </c>
      <c r="BC164" s="111">
        <f t="shared" si="40"/>
        <v>100</v>
      </c>
      <c r="BD164" s="717"/>
      <c r="BE164" s="761"/>
      <c r="BF164" s="717"/>
      <c r="BG164" s="717"/>
      <c r="BH164" s="713"/>
      <c r="BI164" s="715"/>
      <c r="BJ164" s="713"/>
      <c r="BK164" s="713"/>
      <c r="BL164" s="799"/>
      <c r="BM164" s="800"/>
      <c r="BN164" s="801"/>
      <c r="BO164" s="799"/>
      <c r="BP164" s="800"/>
      <c r="BQ164" s="801"/>
      <c r="BR164" s="799"/>
      <c r="BS164" s="800"/>
      <c r="BT164" s="801"/>
    </row>
    <row r="165" spans="1:72" ht="15" thickBot="1">
      <c r="A165" s="724"/>
      <c r="B165" s="777"/>
      <c r="C165" s="730"/>
      <c r="D165" s="736"/>
      <c r="E165" s="161"/>
      <c r="F165" s="150"/>
      <c r="G165" s="736"/>
      <c r="H165" s="764"/>
      <c r="I165" s="764"/>
      <c r="J165" s="764"/>
      <c r="K165" s="764"/>
      <c r="L165" s="764"/>
      <c r="M165" s="764"/>
      <c r="N165" s="764"/>
      <c r="O165" s="764"/>
      <c r="P165" s="764"/>
      <c r="Q165" s="764"/>
      <c r="R165" s="764"/>
      <c r="S165" s="764"/>
      <c r="T165" s="764"/>
      <c r="U165" s="764"/>
      <c r="V165" s="764"/>
      <c r="W165" s="764"/>
      <c r="X165" s="764"/>
      <c r="Y165" s="764"/>
      <c r="Z165" s="727"/>
      <c r="AA165" s="722"/>
      <c r="AB165" s="727"/>
      <c r="AC165" s="720"/>
      <c r="AD165" s="722" t="str">
        <f>+IF(OR(AB165=1,AB165&lt;=5),"Moderado",IF(OR(AB165=6,AB165&lt;=11),"Mayor","Catastrófico"))</f>
        <v>Moderado</v>
      </c>
      <c r="AE165" s="720"/>
      <c r="AF165" s="715"/>
      <c r="AG165" s="52" t="s">
        <v>467</v>
      </c>
      <c r="AH165" s="145"/>
      <c r="AI165" s="145"/>
      <c r="AJ165" s="145"/>
      <c r="AK165" s="28" t="str">
        <f t="shared" si="30"/>
        <v/>
      </c>
      <c r="AL165" s="145"/>
      <c r="AM165" s="28" t="str">
        <f t="shared" si="31"/>
        <v/>
      </c>
      <c r="AN165" s="140"/>
      <c r="AO165" s="28" t="str">
        <f t="shared" si="32"/>
        <v/>
      </c>
      <c r="AP165" s="140"/>
      <c r="AQ165" s="28" t="str">
        <f t="shared" si="33"/>
        <v/>
      </c>
      <c r="AR165" s="140"/>
      <c r="AS165" s="28" t="str">
        <f t="shared" si="34"/>
        <v/>
      </c>
      <c r="AT165" s="140"/>
      <c r="AU165" s="28" t="str">
        <f t="shared" si="35"/>
        <v/>
      </c>
      <c r="AV165" s="140"/>
      <c r="AW165" s="28" t="str">
        <f t="shared" si="36"/>
        <v/>
      </c>
      <c r="AX165" s="111" t="str">
        <f t="shared" si="37"/>
        <v/>
      </c>
      <c r="AY165" s="111" t="str">
        <f t="shared" si="38"/>
        <v/>
      </c>
      <c r="AZ165" s="141"/>
      <c r="BA165" s="153" t="str">
        <f t="shared" si="39"/>
        <v>Débil</v>
      </c>
      <c r="BB165" s="22" t="str">
        <f>IFERROR(VLOOKUP((CONCATENATE(AY165,BA165)),Listados!$U$3:$V$11,2,FALSE),"")</f>
        <v/>
      </c>
      <c r="BC165" s="111">
        <f t="shared" si="40"/>
        <v>100</v>
      </c>
      <c r="BD165" s="717"/>
      <c r="BE165" s="761"/>
      <c r="BF165" s="717"/>
      <c r="BG165" s="717"/>
      <c r="BH165" s="713"/>
      <c r="BI165" s="715"/>
      <c r="BJ165" s="713"/>
      <c r="BK165" s="713"/>
      <c r="BL165" s="799"/>
      <c r="BM165" s="800"/>
      <c r="BN165" s="801"/>
      <c r="BO165" s="799"/>
      <c r="BP165" s="800"/>
      <c r="BQ165" s="801"/>
      <c r="BR165" s="799"/>
      <c r="BS165" s="800"/>
      <c r="BT165" s="801"/>
    </row>
    <row r="166" spans="1:72" ht="15" thickBot="1">
      <c r="A166" s="724"/>
      <c r="B166" s="777"/>
      <c r="C166" s="730"/>
      <c r="D166" s="736"/>
      <c r="E166" s="755"/>
      <c r="F166" s="769"/>
      <c r="G166" s="736"/>
      <c r="H166" s="764"/>
      <c r="I166" s="764"/>
      <c r="J166" s="764"/>
      <c r="K166" s="764"/>
      <c r="L166" s="764"/>
      <c r="M166" s="764"/>
      <c r="N166" s="764"/>
      <c r="O166" s="764"/>
      <c r="P166" s="764"/>
      <c r="Q166" s="764"/>
      <c r="R166" s="764"/>
      <c r="S166" s="764"/>
      <c r="T166" s="764"/>
      <c r="U166" s="764"/>
      <c r="V166" s="764"/>
      <c r="W166" s="764"/>
      <c r="X166" s="764"/>
      <c r="Y166" s="764"/>
      <c r="Z166" s="727"/>
      <c r="AA166" s="722"/>
      <c r="AB166" s="727"/>
      <c r="AC166" s="720"/>
      <c r="AD166" s="722" t="str">
        <f>+IF(OR(AB166=1,AB166&lt;=5),"Moderado",IF(OR(AB166=6,AB166&lt;=11),"Mayor","Catastrófico"))</f>
        <v>Moderado</v>
      </c>
      <c r="AE166" s="720"/>
      <c r="AF166" s="715"/>
      <c r="AG166" s="52" t="s">
        <v>467</v>
      </c>
      <c r="AH166" s="145"/>
      <c r="AI166" s="145"/>
      <c r="AJ166" s="145"/>
      <c r="AK166" s="28" t="str">
        <f t="shared" si="30"/>
        <v/>
      </c>
      <c r="AL166" s="145"/>
      <c r="AM166" s="28" t="str">
        <f t="shared" si="31"/>
        <v/>
      </c>
      <c r="AN166" s="140"/>
      <c r="AO166" s="28" t="str">
        <f t="shared" si="32"/>
        <v/>
      </c>
      <c r="AP166" s="140"/>
      <c r="AQ166" s="28" t="str">
        <f t="shared" si="33"/>
        <v/>
      </c>
      <c r="AR166" s="140"/>
      <c r="AS166" s="28" t="str">
        <f t="shared" si="34"/>
        <v/>
      </c>
      <c r="AT166" s="140"/>
      <c r="AU166" s="28" t="str">
        <f t="shared" si="35"/>
        <v/>
      </c>
      <c r="AV166" s="140"/>
      <c r="AW166" s="28" t="str">
        <f t="shared" si="36"/>
        <v/>
      </c>
      <c r="AX166" s="111" t="str">
        <f t="shared" si="37"/>
        <v/>
      </c>
      <c r="AY166" s="111" t="str">
        <f t="shared" si="38"/>
        <v/>
      </c>
      <c r="AZ166" s="141"/>
      <c r="BA166" s="153" t="str">
        <f t="shared" si="39"/>
        <v>Débil</v>
      </c>
      <c r="BB166" s="22" t="str">
        <f>IFERROR(VLOOKUP((CONCATENATE(AY166,BA166)),Listados!$U$3:$V$11,2,FALSE),"")</f>
        <v/>
      </c>
      <c r="BC166" s="111">
        <f t="shared" si="40"/>
        <v>100</v>
      </c>
      <c r="BD166" s="717"/>
      <c r="BE166" s="761"/>
      <c r="BF166" s="717"/>
      <c r="BG166" s="717"/>
      <c r="BH166" s="713"/>
      <c r="BI166" s="715"/>
      <c r="BJ166" s="713"/>
      <c r="BK166" s="713"/>
      <c r="BL166" s="799"/>
      <c r="BM166" s="800"/>
      <c r="BN166" s="801"/>
      <c r="BO166" s="799"/>
      <c r="BP166" s="800"/>
      <c r="BQ166" s="801"/>
      <c r="BR166" s="799"/>
      <c r="BS166" s="800"/>
      <c r="BT166" s="801"/>
    </row>
    <row r="167" spans="1:72" ht="15" thickBot="1">
      <c r="A167" s="724"/>
      <c r="B167" s="777"/>
      <c r="C167" s="730"/>
      <c r="D167" s="736"/>
      <c r="E167" s="756"/>
      <c r="F167" s="770"/>
      <c r="G167" s="736"/>
      <c r="H167" s="764"/>
      <c r="I167" s="764"/>
      <c r="J167" s="764"/>
      <c r="K167" s="764"/>
      <c r="L167" s="764"/>
      <c r="M167" s="764"/>
      <c r="N167" s="764"/>
      <c r="O167" s="764"/>
      <c r="P167" s="764"/>
      <c r="Q167" s="764"/>
      <c r="R167" s="764"/>
      <c r="S167" s="764"/>
      <c r="T167" s="764"/>
      <c r="U167" s="764"/>
      <c r="V167" s="764"/>
      <c r="W167" s="764"/>
      <c r="X167" s="764"/>
      <c r="Y167" s="764"/>
      <c r="Z167" s="727"/>
      <c r="AA167" s="722"/>
      <c r="AB167" s="727"/>
      <c r="AC167" s="720"/>
      <c r="AD167" s="722" t="str">
        <f>+IF(OR(AB167=1,AB167&lt;=5),"Moderado",IF(OR(AB167=6,AB167&lt;=11),"Mayor","Catastrófico"))</f>
        <v>Moderado</v>
      </c>
      <c r="AE167" s="720"/>
      <c r="AF167" s="715"/>
      <c r="AG167" s="52" t="s">
        <v>467</v>
      </c>
      <c r="AH167" s="145"/>
      <c r="AI167" s="145"/>
      <c r="AJ167" s="145"/>
      <c r="AK167" s="28" t="str">
        <f t="shared" si="30"/>
        <v/>
      </c>
      <c r="AL167" s="145"/>
      <c r="AM167" s="28" t="str">
        <f t="shared" si="31"/>
        <v/>
      </c>
      <c r="AN167" s="140"/>
      <c r="AO167" s="28" t="str">
        <f t="shared" si="32"/>
        <v/>
      </c>
      <c r="AP167" s="140"/>
      <c r="AQ167" s="28" t="str">
        <f t="shared" si="33"/>
        <v/>
      </c>
      <c r="AR167" s="140"/>
      <c r="AS167" s="28" t="str">
        <f t="shared" si="34"/>
        <v/>
      </c>
      <c r="AT167" s="140"/>
      <c r="AU167" s="28" t="str">
        <f t="shared" si="35"/>
        <v/>
      </c>
      <c r="AV167" s="140"/>
      <c r="AW167" s="28" t="str">
        <f t="shared" si="36"/>
        <v/>
      </c>
      <c r="AX167" s="111" t="str">
        <f t="shared" si="37"/>
        <v/>
      </c>
      <c r="AY167" s="111" t="str">
        <f t="shared" si="38"/>
        <v/>
      </c>
      <c r="AZ167" s="141"/>
      <c r="BA167" s="153" t="str">
        <f t="shared" si="39"/>
        <v>Débil</v>
      </c>
      <c r="BB167" s="22" t="str">
        <f>IFERROR(VLOOKUP((CONCATENATE(AY167,BA167)),Listados!$U$3:$V$11,2,FALSE),"")</f>
        <v/>
      </c>
      <c r="BC167" s="111">
        <f t="shared" si="40"/>
        <v>100</v>
      </c>
      <c r="BD167" s="717"/>
      <c r="BE167" s="761"/>
      <c r="BF167" s="717"/>
      <c r="BG167" s="717"/>
      <c r="BH167" s="713"/>
      <c r="BI167" s="715"/>
      <c r="BJ167" s="713"/>
      <c r="BK167" s="713"/>
      <c r="BL167" s="799"/>
      <c r="BM167" s="800"/>
      <c r="BN167" s="801"/>
      <c r="BO167" s="799"/>
      <c r="BP167" s="800"/>
      <c r="BQ167" s="801"/>
      <c r="BR167" s="799"/>
      <c r="BS167" s="800"/>
      <c r="BT167" s="801"/>
    </row>
    <row r="168" spans="1:72" ht="15" thickBot="1">
      <c r="A168" s="725"/>
      <c r="B168" s="777"/>
      <c r="C168" s="731"/>
      <c r="D168" s="781"/>
      <c r="E168" s="757"/>
      <c r="F168" s="771"/>
      <c r="G168" s="736"/>
      <c r="H168" s="764"/>
      <c r="I168" s="764"/>
      <c r="J168" s="764"/>
      <c r="K168" s="764"/>
      <c r="L168" s="764"/>
      <c r="M168" s="764"/>
      <c r="N168" s="764"/>
      <c r="O168" s="764"/>
      <c r="P168" s="764"/>
      <c r="Q168" s="764"/>
      <c r="R168" s="764"/>
      <c r="S168" s="764"/>
      <c r="T168" s="764"/>
      <c r="U168" s="764"/>
      <c r="V168" s="764"/>
      <c r="W168" s="764"/>
      <c r="X168" s="764"/>
      <c r="Y168" s="764"/>
      <c r="Z168" s="727"/>
      <c r="AA168" s="722"/>
      <c r="AB168" s="727"/>
      <c r="AC168" s="721"/>
      <c r="AD168" s="722" t="str">
        <f>+IF(OR(AB168=1,AB168&lt;=5),"Moderado",IF(OR(AB168=6,AB168&lt;=11),"Mayor","Catastrófico"))</f>
        <v>Moderado</v>
      </c>
      <c r="AE168" s="721"/>
      <c r="AF168" s="715"/>
      <c r="AG168" s="52" t="s">
        <v>467</v>
      </c>
      <c r="AH168" s="145"/>
      <c r="AI168" s="145"/>
      <c r="AJ168" s="145"/>
      <c r="AK168" s="28" t="str">
        <f t="shared" si="30"/>
        <v/>
      </c>
      <c r="AL168" s="145"/>
      <c r="AM168" s="28" t="str">
        <f t="shared" si="31"/>
        <v/>
      </c>
      <c r="AN168" s="140"/>
      <c r="AO168" s="28" t="str">
        <f t="shared" si="32"/>
        <v/>
      </c>
      <c r="AP168" s="140"/>
      <c r="AQ168" s="28" t="str">
        <f t="shared" si="33"/>
        <v/>
      </c>
      <c r="AR168" s="140"/>
      <c r="AS168" s="28" t="str">
        <f t="shared" si="34"/>
        <v/>
      </c>
      <c r="AT168" s="140"/>
      <c r="AU168" s="28" t="str">
        <f t="shared" si="35"/>
        <v/>
      </c>
      <c r="AV168" s="140"/>
      <c r="AW168" s="28" t="str">
        <f t="shared" si="36"/>
        <v/>
      </c>
      <c r="AX168" s="111" t="str">
        <f t="shared" si="37"/>
        <v/>
      </c>
      <c r="AY168" s="111" t="str">
        <f t="shared" si="38"/>
        <v/>
      </c>
      <c r="AZ168" s="141"/>
      <c r="BA168" s="153" t="str">
        <f t="shared" si="39"/>
        <v>Débil</v>
      </c>
      <c r="BB168" s="22" t="str">
        <f>IFERROR(VLOOKUP((CONCATENATE(AY168,BA168)),Listados!$U$3:$V$11,2,FALSE),"")</f>
        <v/>
      </c>
      <c r="BC168" s="111">
        <f t="shared" si="40"/>
        <v>100</v>
      </c>
      <c r="BD168" s="718"/>
      <c r="BE168" s="761"/>
      <c r="BF168" s="718"/>
      <c r="BG168" s="718"/>
      <c r="BH168" s="714"/>
      <c r="BI168" s="715"/>
      <c r="BJ168" s="714"/>
      <c r="BK168" s="714"/>
      <c r="BL168" s="799"/>
      <c r="BM168" s="800"/>
      <c r="BN168" s="801"/>
      <c r="BO168" s="799"/>
      <c r="BP168" s="800"/>
      <c r="BQ168" s="801"/>
      <c r="BR168" s="799"/>
      <c r="BS168" s="800"/>
      <c r="BT168" s="801"/>
    </row>
    <row r="169" spans="1:72" ht="15" thickBot="1">
      <c r="A169" s="723">
        <v>28</v>
      </c>
      <c r="B169" s="776"/>
      <c r="C169" s="729" t="str">
        <f>IFERROR(VLOOKUP(B169,Listados!B$3:C$20,2,FALSE),"")</f>
        <v/>
      </c>
      <c r="D169" s="735" t="s">
        <v>584</v>
      </c>
      <c r="E169" s="105"/>
      <c r="F169" s="18"/>
      <c r="G169" s="735"/>
      <c r="H169" s="763"/>
      <c r="I169" s="763"/>
      <c r="J169" s="763"/>
      <c r="K169" s="763"/>
      <c r="L169" s="763"/>
      <c r="M169" s="763"/>
      <c r="N169" s="763"/>
      <c r="O169" s="763"/>
      <c r="P169" s="763"/>
      <c r="Q169" s="763"/>
      <c r="R169" s="763"/>
      <c r="S169" s="763"/>
      <c r="T169" s="763"/>
      <c r="U169" s="763"/>
      <c r="V169" s="763"/>
      <c r="W169" s="763"/>
      <c r="X169" s="763"/>
      <c r="Y169" s="763"/>
      <c r="Z169" s="762"/>
      <c r="AA169" s="721">
        <f>COUNTIF(H169:Z174, "SI")</f>
        <v>0</v>
      </c>
      <c r="AB169" s="762"/>
      <c r="AC169" s="719" t="e">
        <f>+VLOOKUP(AB169,Listados!$K$8:$L$12,2,0)</f>
        <v>#N/A</v>
      </c>
      <c r="AD169" s="721" t="str">
        <f>+IF(OR(AA169=1,AA169&lt;=5),"Moderado",IF(OR(AA169=6,AA169&lt;=11),"Mayor","Catastrófico"))</f>
        <v>Moderado</v>
      </c>
      <c r="AE169" s="719" t="e">
        <f>+VLOOKUP(AD169,Listados!K175:L179,2,0)</f>
        <v>#N/A</v>
      </c>
      <c r="AF169" s="714" t="str">
        <f>IF(AND(AB169&lt;&gt;"",AD169&lt;&gt;""),VLOOKUP(AB169&amp;AD169,Listados!$M$3:$N$27,2,FALSE),"")</f>
        <v/>
      </c>
      <c r="AG169" s="52" t="s">
        <v>467</v>
      </c>
      <c r="AH169" s="145"/>
      <c r="AI169" s="145"/>
      <c r="AJ169" s="145"/>
      <c r="AK169" s="28" t="str">
        <f t="shared" si="30"/>
        <v/>
      </c>
      <c r="AL169" s="145"/>
      <c r="AM169" s="28" t="str">
        <f t="shared" si="31"/>
        <v/>
      </c>
      <c r="AN169" s="140"/>
      <c r="AO169" s="28" t="str">
        <f t="shared" si="32"/>
        <v/>
      </c>
      <c r="AP169" s="140"/>
      <c r="AQ169" s="28" t="str">
        <f t="shared" si="33"/>
        <v/>
      </c>
      <c r="AR169" s="140"/>
      <c r="AS169" s="28" t="str">
        <f t="shared" si="34"/>
        <v/>
      </c>
      <c r="AT169" s="140"/>
      <c r="AU169" s="28" t="str">
        <f t="shared" si="35"/>
        <v/>
      </c>
      <c r="AV169" s="140"/>
      <c r="AW169" s="28" t="str">
        <f t="shared" si="36"/>
        <v/>
      </c>
      <c r="AX169" s="111" t="str">
        <f t="shared" si="37"/>
        <v/>
      </c>
      <c r="AY169" s="111" t="str">
        <f t="shared" si="38"/>
        <v/>
      </c>
      <c r="AZ169" s="141"/>
      <c r="BA169" s="153" t="str">
        <f t="shared" si="39"/>
        <v>Débil</v>
      </c>
      <c r="BB169" s="22" t="str">
        <f>IFERROR(VLOOKUP((CONCATENATE(AY169,BA169)),Listados!$U$3:$V$11,2,FALSE),"")</f>
        <v/>
      </c>
      <c r="BC169" s="111">
        <f t="shared" si="40"/>
        <v>100</v>
      </c>
      <c r="BD169" s="716">
        <f>AVERAGE(BC169:BC174)</f>
        <v>100</v>
      </c>
      <c r="BE169" s="718" t="str">
        <f>IF(BD169&lt;=50, "Débil", IF(BD169&lt;=99,"Moderado","Fuerte"))</f>
        <v>Fuerte</v>
      </c>
      <c r="BF169" s="716">
        <f>+IF(BE169="Fuerte",2,IF(BE169="Moderado",1,0))</f>
        <v>2</v>
      </c>
      <c r="BG169" s="716" t="e">
        <f>+AC169-BF169</f>
        <v>#N/A</v>
      </c>
      <c r="BH169" s="712" t="e">
        <f>+VLOOKUP(BG169,Listados!$J$18:$K$24,2,TRUE)</f>
        <v>#N/A</v>
      </c>
      <c r="BI169" s="714" t="str">
        <f>IF(ISBLANK(AD169),"",AD169)</f>
        <v>Moderado</v>
      </c>
      <c r="BJ169" s="712" t="e">
        <f>IF(AND(BH169&lt;&gt;"",BI169&lt;&gt;""),VLOOKUP(BH169&amp;BI169,Listados!$M$3:$N$27,2,FALSE),"")</f>
        <v>#N/A</v>
      </c>
      <c r="BK169" s="712" t="e">
        <f>+VLOOKUP(BJ169,Listados!$P$3:$Q$6,2,FALSE)</f>
        <v>#N/A</v>
      </c>
      <c r="BL169" s="799"/>
      <c r="BM169" s="800"/>
      <c r="BN169" s="801"/>
      <c r="BO169" s="799"/>
      <c r="BP169" s="800"/>
      <c r="BQ169" s="801"/>
      <c r="BR169" s="799"/>
      <c r="BS169" s="800"/>
      <c r="BT169" s="801"/>
    </row>
    <row r="170" spans="1:72" ht="15" thickBot="1">
      <c r="A170" s="724"/>
      <c r="B170" s="777"/>
      <c r="C170" s="730"/>
      <c r="D170" s="736"/>
      <c r="E170" s="161"/>
      <c r="F170" s="150"/>
      <c r="G170" s="736"/>
      <c r="H170" s="764"/>
      <c r="I170" s="764"/>
      <c r="J170" s="764"/>
      <c r="K170" s="764"/>
      <c r="L170" s="764"/>
      <c r="M170" s="764"/>
      <c r="N170" s="764"/>
      <c r="O170" s="764"/>
      <c r="P170" s="764"/>
      <c r="Q170" s="764"/>
      <c r="R170" s="764"/>
      <c r="S170" s="764"/>
      <c r="T170" s="764"/>
      <c r="U170" s="764"/>
      <c r="V170" s="764"/>
      <c r="W170" s="764"/>
      <c r="X170" s="764"/>
      <c r="Y170" s="764"/>
      <c r="Z170" s="727"/>
      <c r="AA170" s="722"/>
      <c r="AB170" s="727"/>
      <c r="AC170" s="720"/>
      <c r="AD170" s="722" t="str">
        <f>+IF(OR(AB170=1,AB170&lt;=5),"Moderado",IF(OR(AB170=6,AB170&lt;=11),"Mayor","Catastrófico"))</f>
        <v>Moderado</v>
      </c>
      <c r="AE170" s="720"/>
      <c r="AF170" s="715"/>
      <c r="AG170" s="52" t="s">
        <v>467</v>
      </c>
      <c r="AH170" s="145"/>
      <c r="AI170" s="145"/>
      <c r="AJ170" s="145"/>
      <c r="AK170" s="28" t="str">
        <f t="shared" si="30"/>
        <v/>
      </c>
      <c r="AL170" s="145"/>
      <c r="AM170" s="28" t="str">
        <f t="shared" si="31"/>
        <v/>
      </c>
      <c r="AN170" s="140"/>
      <c r="AO170" s="28" t="str">
        <f t="shared" si="32"/>
        <v/>
      </c>
      <c r="AP170" s="140"/>
      <c r="AQ170" s="28" t="str">
        <f t="shared" si="33"/>
        <v/>
      </c>
      <c r="AR170" s="140"/>
      <c r="AS170" s="28" t="str">
        <f t="shared" si="34"/>
        <v/>
      </c>
      <c r="AT170" s="140"/>
      <c r="AU170" s="28" t="str">
        <f t="shared" si="35"/>
        <v/>
      </c>
      <c r="AV170" s="140"/>
      <c r="AW170" s="28" t="str">
        <f t="shared" si="36"/>
        <v/>
      </c>
      <c r="AX170" s="111" t="str">
        <f t="shared" si="37"/>
        <v/>
      </c>
      <c r="AY170" s="111" t="str">
        <f t="shared" si="38"/>
        <v/>
      </c>
      <c r="AZ170" s="141"/>
      <c r="BA170" s="153" t="str">
        <f t="shared" si="39"/>
        <v>Débil</v>
      </c>
      <c r="BB170" s="22" t="str">
        <f>IFERROR(VLOOKUP((CONCATENATE(AY170,BA170)),Listados!$U$3:$V$11,2,FALSE),"")</f>
        <v/>
      </c>
      <c r="BC170" s="111">
        <f t="shared" si="40"/>
        <v>100</v>
      </c>
      <c r="BD170" s="717"/>
      <c r="BE170" s="761"/>
      <c r="BF170" s="717"/>
      <c r="BG170" s="717"/>
      <c r="BH170" s="713"/>
      <c r="BI170" s="715"/>
      <c r="BJ170" s="713"/>
      <c r="BK170" s="713"/>
      <c r="BL170" s="799"/>
      <c r="BM170" s="800"/>
      <c r="BN170" s="801"/>
      <c r="BO170" s="799"/>
      <c r="BP170" s="800"/>
      <c r="BQ170" s="801"/>
      <c r="BR170" s="799"/>
      <c r="BS170" s="800"/>
      <c r="BT170" s="801"/>
    </row>
    <row r="171" spans="1:72" ht="15" thickBot="1">
      <c r="A171" s="724"/>
      <c r="B171" s="777"/>
      <c r="C171" s="730"/>
      <c r="D171" s="736"/>
      <c r="E171" s="161"/>
      <c r="F171" s="150"/>
      <c r="G171" s="736"/>
      <c r="H171" s="764"/>
      <c r="I171" s="764"/>
      <c r="J171" s="764"/>
      <c r="K171" s="764"/>
      <c r="L171" s="764"/>
      <c r="M171" s="764"/>
      <c r="N171" s="764"/>
      <c r="O171" s="764"/>
      <c r="P171" s="764"/>
      <c r="Q171" s="764"/>
      <c r="R171" s="764"/>
      <c r="S171" s="764"/>
      <c r="T171" s="764"/>
      <c r="U171" s="764"/>
      <c r="V171" s="764"/>
      <c r="W171" s="764"/>
      <c r="X171" s="764"/>
      <c r="Y171" s="764"/>
      <c r="Z171" s="727"/>
      <c r="AA171" s="722"/>
      <c r="AB171" s="727"/>
      <c r="AC171" s="720"/>
      <c r="AD171" s="722" t="str">
        <f>+IF(OR(AB171=1,AB171&lt;=5),"Moderado",IF(OR(AB171=6,AB171&lt;=11),"Mayor","Catastrófico"))</f>
        <v>Moderado</v>
      </c>
      <c r="AE171" s="720"/>
      <c r="AF171" s="715"/>
      <c r="AG171" s="52" t="s">
        <v>467</v>
      </c>
      <c r="AH171" s="145"/>
      <c r="AI171" s="145"/>
      <c r="AJ171" s="145"/>
      <c r="AK171" s="28" t="str">
        <f t="shared" si="30"/>
        <v/>
      </c>
      <c r="AL171" s="145"/>
      <c r="AM171" s="28" t="str">
        <f t="shared" si="31"/>
        <v/>
      </c>
      <c r="AN171" s="140"/>
      <c r="AO171" s="28" t="str">
        <f t="shared" si="32"/>
        <v/>
      </c>
      <c r="AP171" s="140"/>
      <c r="AQ171" s="28" t="str">
        <f t="shared" si="33"/>
        <v/>
      </c>
      <c r="AR171" s="140"/>
      <c r="AS171" s="28" t="str">
        <f t="shared" si="34"/>
        <v/>
      </c>
      <c r="AT171" s="140"/>
      <c r="AU171" s="28" t="str">
        <f t="shared" si="35"/>
        <v/>
      </c>
      <c r="AV171" s="140"/>
      <c r="AW171" s="28" t="str">
        <f t="shared" si="36"/>
        <v/>
      </c>
      <c r="AX171" s="111" t="str">
        <f t="shared" si="37"/>
        <v/>
      </c>
      <c r="AY171" s="111" t="str">
        <f t="shared" si="38"/>
        <v/>
      </c>
      <c r="AZ171" s="141"/>
      <c r="BA171" s="153" t="str">
        <f t="shared" si="39"/>
        <v>Débil</v>
      </c>
      <c r="BB171" s="22" t="str">
        <f>IFERROR(VLOOKUP((CONCATENATE(AY171,BA171)),Listados!$U$3:$V$11,2,FALSE),"")</f>
        <v/>
      </c>
      <c r="BC171" s="111">
        <f t="shared" si="40"/>
        <v>100</v>
      </c>
      <c r="BD171" s="717"/>
      <c r="BE171" s="761"/>
      <c r="BF171" s="717"/>
      <c r="BG171" s="717"/>
      <c r="BH171" s="713"/>
      <c r="BI171" s="715"/>
      <c r="BJ171" s="713"/>
      <c r="BK171" s="713"/>
      <c r="BL171" s="799"/>
      <c r="BM171" s="800"/>
      <c r="BN171" s="801"/>
      <c r="BO171" s="799"/>
      <c r="BP171" s="800"/>
      <c r="BQ171" s="801"/>
      <c r="BR171" s="799"/>
      <c r="BS171" s="800"/>
      <c r="BT171" s="801"/>
    </row>
    <row r="172" spans="1:72" ht="15" thickBot="1">
      <c r="A172" s="724"/>
      <c r="B172" s="777"/>
      <c r="C172" s="730"/>
      <c r="D172" s="736"/>
      <c r="E172" s="755"/>
      <c r="F172" s="769"/>
      <c r="G172" s="736"/>
      <c r="H172" s="764"/>
      <c r="I172" s="764"/>
      <c r="J172" s="764"/>
      <c r="K172" s="764"/>
      <c r="L172" s="764"/>
      <c r="M172" s="764"/>
      <c r="N172" s="764"/>
      <c r="O172" s="764"/>
      <c r="P172" s="764"/>
      <c r="Q172" s="764"/>
      <c r="R172" s="764"/>
      <c r="S172" s="764"/>
      <c r="T172" s="764"/>
      <c r="U172" s="764"/>
      <c r="V172" s="764"/>
      <c r="W172" s="764"/>
      <c r="X172" s="764"/>
      <c r="Y172" s="764"/>
      <c r="Z172" s="727"/>
      <c r="AA172" s="722"/>
      <c r="AB172" s="727"/>
      <c r="AC172" s="720"/>
      <c r="AD172" s="722" t="str">
        <f>+IF(OR(AB172=1,AB172&lt;=5),"Moderado",IF(OR(AB172=6,AB172&lt;=11),"Mayor","Catastrófico"))</f>
        <v>Moderado</v>
      </c>
      <c r="AE172" s="720"/>
      <c r="AF172" s="715"/>
      <c r="AG172" s="52" t="s">
        <v>467</v>
      </c>
      <c r="AH172" s="145"/>
      <c r="AI172" s="145"/>
      <c r="AJ172" s="145"/>
      <c r="AK172" s="28" t="str">
        <f t="shared" si="30"/>
        <v/>
      </c>
      <c r="AL172" s="145"/>
      <c r="AM172" s="28" t="str">
        <f t="shared" si="31"/>
        <v/>
      </c>
      <c r="AN172" s="140"/>
      <c r="AO172" s="28" t="str">
        <f t="shared" si="32"/>
        <v/>
      </c>
      <c r="AP172" s="140"/>
      <c r="AQ172" s="28" t="str">
        <f t="shared" si="33"/>
        <v/>
      </c>
      <c r="AR172" s="140"/>
      <c r="AS172" s="28" t="str">
        <f t="shared" si="34"/>
        <v/>
      </c>
      <c r="AT172" s="140"/>
      <c r="AU172" s="28" t="str">
        <f t="shared" si="35"/>
        <v/>
      </c>
      <c r="AV172" s="140"/>
      <c r="AW172" s="28" t="str">
        <f t="shared" si="36"/>
        <v/>
      </c>
      <c r="AX172" s="111" t="str">
        <f t="shared" si="37"/>
        <v/>
      </c>
      <c r="AY172" s="111" t="str">
        <f t="shared" si="38"/>
        <v/>
      </c>
      <c r="AZ172" s="141"/>
      <c r="BA172" s="153" t="str">
        <f t="shared" si="39"/>
        <v>Débil</v>
      </c>
      <c r="BB172" s="22" t="str">
        <f>IFERROR(VLOOKUP((CONCATENATE(AY172,BA172)),Listados!$U$3:$V$11,2,FALSE),"")</f>
        <v/>
      </c>
      <c r="BC172" s="111">
        <f t="shared" si="40"/>
        <v>100</v>
      </c>
      <c r="BD172" s="717"/>
      <c r="BE172" s="761"/>
      <c r="BF172" s="717"/>
      <c r="BG172" s="717"/>
      <c r="BH172" s="713"/>
      <c r="BI172" s="715"/>
      <c r="BJ172" s="713"/>
      <c r="BK172" s="713"/>
      <c r="BL172" s="799"/>
      <c r="BM172" s="800"/>
      <c r="BN172" s="801"/>
      <c r="BO172" s="799"/>
      <c r="BP172" s="800"/>
      <c r="BQ172" s="801"/>
      <c r="BR172" s="799"/>
      <c r="BS172" s="800"/>
      <c r="BT172" s="801"/>
    </row>
    <row r="173" spans="1:72" ht="15" thickBot="1">
      <c r="A173" s="724"/>
      <c r="B173" s="777"/>
      <c r="C173" s="730"/>
      <c r="D173" s="736"/>
      <c r="E173" s="756"/>
      <c r="F173" s="770"/>
      <c r="G173" s="736"/>
      <c r="H173" s="764"/>
      <c r="I173" s="764"/>
      <c r="J173" s="764"/>
      <c r="K173" s="764"/>
      <c r="L173" s="764"/>
      <c r="M173" s="764"/>
      <c r="N173" s="764"/>
      <c r="O173" s="764"/>
      <c r="P173" s="764"/>
      <c r="Q173" s="764"/>
      <c r="R173" s="764"/>
      <c r="S173" s="764"/>
      <c r="T173" s="764"/>
      <c r="U173" s="764"/>
      <c r="V173" s="764"/>
      <c r="W173" s="764"/>
      <c r="X173" s="764"/>
      <c r="Y173" s="764"/>
      <c r="Z173" s="727"/>
      <c r="AA173" s="722"/>
      <c r="AB173" s="727"/>
      <c r="AC173" s="720"/>
      <c r="AD173" s="722" t="str">
        <f>+IF(OR(AB173=1,AB173&lt;=5),"Moderado",IF(OR(AB173=6,AB173&lt;=11),"Mayor","Catastrófico"))</f>
        <v>Moderado</v>
      </c>
      <c r="AE173" s="720"/>
      <c r="AF173" s="715"/>
      <c r="AG173" s="52" t="s">
        <v>467</v>
      </c>
      <c r="AH173" s="145"/>
      <c r="AI173" s="145"/>
      <c r="AJ173" s="145"/>
      <c r="AK173" s="28" t="str">
        <f t="shared" si="30"/>
        <v/>
      </c>
      <c r="AL173" s="145"/>
      <c r="AM173" s="28" t="str">
        <f t="shared" si="31"/>
        <v/>
      </c>
      <c r="AN173" s="140"/>
      <c r="AO173" s="28" t="str">
        <f t="shared" si="32"/>
        <v/>
      </c>
      <c r="AP173" s="140"/>
      <c r="AQ173" s="28" t="str">
        <f t="shared" si="33"/>
        <v/>
      </c>
      <c r="AR173" s="140"/>
      <c r="AS173" s="28" t="str">
        <f t="shared" si="34"/>
        <v/>
      </c>
      <c r="AT173" s="140"/>
      <c r="AU173" s="28" t="str">
        <f t="shared" si="35"/>
        <v/>
      </c>
      <c r="AV173" s="140"/>
      <c r="AW173" s="28" t="str">
        <f t="shared" si="36"/>
        <v/>
      </c>
      <c r="AX173" s="111" t="str">
        <f t="shared" si="37"/>
        <v/>
      </c>
      <c r="AY173" s="111" t="str">
        <f t="shared" si="38"/>
        <v/>
      </c>
      <c r="AZ173" s="141"/>
      <c r="BA173" s="153" t="str">
        <f t="shared" si="39"/>
        <v>Débil</v>
      </c>
      <c r="BB173" s="22" t="str">
        <f>IFERROR(VLOOKUP((CONCATENATE(AY173,BA173)),Listados!$U$3:$V$11,2,FALSE),"")</f>
        <v/>
      </c>
      <c r="BC173" s="111">
        <f t="shared" si="40"/>
        <v>100</v>
      </c>
      <c r="BD173" s="717"/>
      <c r="BE173" s="761"/>
      <c r="BF173" s="717"/>
      <c r="BG173" s="717"/>
      <c r="BH173" s="713"/>
      <c r="BI173" s="715"/>
      <c r="BJ173" s="713"/>
      <c r="BK173" s="713"/>
      <c r="BL173" s="799"/>
      <c r="BM173" s="800"/>
      <c r="BN173" s="801"/>
      <c r="BO173" s="799"/>
      <c r="BP173" s="800"/>
      <c r="BQ173" s="801"/>
      <c r="BR173" s="799"/>
      <c r="BS173" s="800"/>
      <c r="BT173" s="801"/>
    </row>
    <row r="174" spans="1:72" ht="15" thickBot="1">
      <c r="A174" s="725"/>
      <c r="B174" s="777"/>
      <c r="C174" s="731"/>
      <c r="D174" s="781"/>
      <c r="E174" s="757"/>
      <c r="F174" s="771"/>
      <c r="G174" s="736"/>
      <c r="H174" s="764"/>
      <c r="I174" s="764"/>
      <c r="J174" s="764"/>
      <c r="K174" s="764"/>
      <c r="L174" s="764"/>
      <c r="M174" s="764"/>
      <c r="N174" s="764"/>
      <c r="O174" s="764"/>
      <c r="P174" s="764"/>
      <c r="Q174" s="764"/>
      <c r="R174" s="764"/>
      <c r="S174" s="764"/>
      <c r="T174" s="764"/>
      <c r="U174" s="764"/>
      <c r="V174" s="764"/>
      <c r="W174" s="764"/>
      <c r="X174" s="764"/>
      <c r="Y174" s="764"/>
      <c r="Z174" s="727"/>
      <c r="AA174" s="722"/>
      <c r="AB174" s="727"/>
      <c r="AC174" s="721"/>
      <c r="AD174" s="722" t="str">
        <f>+IF(OR(AB174=1,AB174&lt;=5),"Moderado",IF(OR(AB174=6,AB174&lt;=11),"Mayor","Catastrófico"))</f>
        <v>Moderado</v>
      </c>
      <c r="AE174" s="721"/>
      <c r="AF174" s="715"/>
      <c r="AG174" s="52" t="s">
        <v>467</v>
      </c>
      <c r="AH174" s="145"/>
      <c r="AI174" s="145"/>
      <c r="AJ174" s="145"/>
      <c r="AK174" s="28" t="str">
        <f t="shared" si="30"/>
        <v/>
      </c>
      <c r="AL174" s="145"/>
      <c r="AM174" s="28" t="str">
        <f t="shared" si="31"/>
        <v/>
      </c>
      <c r="AN174" s="140"/>
      <c r="AO174" s="28" t="str">
        <f t="shared" si="32"/>
        <v/>
      </c>
      <c r="AP174" s="140"/>
      <c r="AQ174" s="28" t="str">
        <f t="shared" si="33"/>
        <v/>
      </c>
      <c r="AR174" s="140"/>
      <c r="AS174" s="28" t="str">
        <f t="shared" si="34"/>
        <v/>
      </c>
      <c r="AT174" s="140"/>
      <c r="AU174" s="28" t="str">
        <f t="shared" si="35"/>
        <v/>
      </c>
      <c r="AV174" s="140"/>
      <c r="AW174" s="28" t="str">
        <f t="shared" si="36"/>
        <v/>
      </c>
      <c r="AX174" s="111" t="str">
        <f t="shared" si="37"/>
        <v/>
      </c>
      <c r="AY174" s="111" t="str">
        <f t="shared" si="38"/>
        <v/>
      </c>
      <c r="AZ174" s="141"/>
      <c r="BA174" s="153" t="str">
        <f t="shared" si="39"/>
        <v>Débil</v>
      </c>
      <c r="BB174" s="22" t="str">
        <f>IFERROR(VLOOKUP((CONCATENATE(AY174,BA174)),Listados!$U$3:$V$11,2,FALSE),"")</f>
        <v/>
      </c>
      <c r="BC174" s="111">
        <f t="shared" si="40"/>
        <v>100</v>
      </c>
      <c r="BD174" s="718"/>
      <c r="BE174" s="761"/>
      <c r="BF174" s="718"/>
      <c r="BG174" s="718"/>
      <c r="BH174" s="714"/>
      <c r="BI174" s="715"/>
      <c r="BJ174" s="714"/>
      <c r="BK174" s="714"/>
      <c r="BL174" s="799"/>
      <c r="BM174" s="800"/>
      <c r="BN174" s="801"/>
      <c r="BO174" s="799"/>
      <c r="BP174" s="800"/>
      <c r="BQ174" s="801"/>
      <c r="BR174" s="799"/>
      <c r="BS174" s="800"/>
      <c r="BT174" s="801"/>
    </row>
    <row r="175" spans="1:72" ht="15" thickBot="1">
      <c r="A175" s="723">
        <v>29</v>
      </c>
      <c r="B175" s="776"/>
      <c r="C175" s="729" t="str">
        <f>IFERROR(VLOOKUP(B175,Listados!B$3:C$20,2,FALSE),"")</f>
        <v/>
      </c>
      <c r="D175" s="735" t="s">
        <v>584</v>
      </c>
      <c r="E175" s="105"/>
      <c r="F175" s="18"/>
      <c r="G175" s="735"/>
      <c r="H175" s="763"/>
      <c r="I175" s="763"/>
      <c r="J175" s="763"/>
      <c r="K175" s="763"/>
      <c r="L175" s="763"/>
      <c r="M175" s="763"/>
      <c r="N175" s="763"/>
      <c r="O175" s="763"/>
      <c r="P175" s="763"/>
      <c r="Q175" s="763"/>
      <c r="R175" s="763"/>
      <c r="S175" s="763"/>
      <c r="T175" s="763"/>
      <c r="U175" s="763"/>
      <c r="V175" s="763"/>
      <c r="W175" s="763"/>
      <c r="X175" s="763"/>
      <c r="Y175" s="763"/>
      <c r="Z175" s="762"/>
      <c r="AA175" s="721">
        <f>COUNTIF(H175:Z180, "SI")</f>
        <v>0</v>
      </c>
      <c r="AB175" s="762"/>
      <c r="AC175" s="719" t="e">
        <f>+VLOOKUP(AB175,Listados!$K$8:$L$12,2,0)</f>
        <v>#N/A</v>
      </c>
      <c r="AD175" s="721" t="str">
        <f>+IF(OR(AA175=1,AA175&lt;=5),"Moderado",IF(OR(AA175=6,AA175&lt;=11),"Mayor","Catastrófico"))</f>
        <v>Moderado</v>
      </c>
      <c r="AE175" s="719" t="e">
        <f>+VLOOKUP(AD175,Listados!K181:L185,2,0)</f>
        <v>#N/A</v>
      </c>
      <c r="AF175" s="714" t="str">
        <f>IF(AND(AB175&lt;&gt;"",AD175&lt;&gt;""),VLOOKUP(AB175&amp;AD175,Listados!$M$3:$N$27,2,FALSE),"")</f>
        <v/>
      </c>
      <c r="AG175" s="52" t="s">
        <v>467</v>
      </c>
      <c r="AH175" s="145"/>
      <c r="AI175" s="145"/>
      <c r="AJ175" s="145"/>
      <c r="AK175" s="28" t="str">
        <f t="shared" si="30"/>
        <v/>
      </c>
      <c r="AL175" s="145"/>
      <c r="AM175" s="28" t="str">
        <f t="shared" si="31"/>
        <v/>
      </c>
      <c r="AN175" s="140"/>
      <c r="AO175" s="28" t="str">
        <f t="shared" si="32"/>
        <v/>
      </c>
      <c r="AP175" s="140"/>
      <c r="AQ175" s="28" t="str">
        <f t="shared" si="33"/>
        <v/>
      </c>
      <c r="AR175" s="140"/>
      <c r="AS175" s="28" t="str">
        <f t="shared" si="34"/>
        <v/>
      </c>
      <c r="AT175" s="140"/>
      <c r="AU175" s="28" t="str">
        <f t="shared" si="35"/>
        <v/>
      </c>
      <c r="AV175" s="140"/>
      <c r="AW175" s="28" t="str">
        <f t="shared" si="36"/>
        <v/>
      </c>
      <c r="AX175" s="111" t="str">
        <f t="shared" si="37"/>
        <v/>
      </c>
      <c r="AY175" s="111" t="str">
        <f t="shared" si="38"/>
        <v/>
      </c>
      <c r="AZ175" s="141"/>
      <c r="BA175" s="153" t="str">
        <f t="shared" si="39"/>
        <v>Débil</v>
      </c>
      <c r="BB175" s="22" t="str">
        <f>IFERROR(VLOOKUP((CONCATENATE(AY175,BA175)),Listados!$U$3:$V$11,2,FALSE),"")</f>
        <v/>
      </c>
      <c r="BC175" s="111">
        <f t="shared" si="40"/>
        <v>100</v>
      </c>
      <c r="BD175" s="716">
        <f>AVERAGE(BC175:BC180)</f>
        <v>100</v>
      </c>
      <c r="BE175" s="718" t="str">
        <f>IF(BD175&lt;=50, "Débil", IF(BD175&lt;=99,"Moderado","Fuerte"))</f>
        <v>Fuerte</v>
      </c>
      <c r="BF175" s="716">
        <f>+IF(BE175="Fuerte",2,IF(BE175="Moderado",1,0))</f>
        <v>2</v>
      </c>
      <c r="BG175" s="716" t="e">
        <f>+AC175-BF175</f>
        <v>#N/A</v>
      </c>
      <c r="BH175" s="712" t="e">
        <f>+VLOOKUP(BG175,Listados!$J$18:$K$24,2,TRUE)</f>
        <v>#N/A</v>
      </c>
      <c r="BI175" s="714" t="str">
        <f>IF(ISBLANK(AD175),"",AD175)</f>
        <v>Moderado</v>
      </c>
      <c r="BJ175" s="712" t="e">
        <f>IF(AND(BH175&lt;&gt;"",BI175&lt;&gt;""),VLOOKUP(BH175&amp;BI175,Listados!$M$3:$N$27,2,FALSE),"")</f>
        <v>#N/A</v>
      </c>
      <c r="BK175" s="712" t="e">
        <f>+VLOOKUP(BJ175,Listados!$P$3:$Q$6,2,FALSE)</f>
        <v>#N/A</v>
      </c>
      <c r="BL175" s="799"/>
      <c r="BM175" s="800"/>
      <c r="BN175" s="801"/>
      <c r="BO175" s="799"/>
      <c r="BP175" s="800"/>
      <c r="BQ175" s="801"/>
      <c r="BR175" s="799"/>
      <c r="BS175" s="800"/>
      <c r="BT175" s="801"/>
    </row>
    <row r="176" spans="1:72" ht="15" thickBot="1">
      <c r="A176" s="724"/>
      <c r="B176" s="777"/>
      <c r="C176" s="730"/>
      <c r="D176" s="736"/>
      <c r="E176" s="161"/>
      <c r="F176" s="150"/>
      <c r="G176" s="736"/>
      <c r="H176" s="764"/>
      <c r="I176" s="764"/>
      <c r="J176" s="764"/>
      <c r="K176" s="764"/>
      <c r="L176" s="764"/>
      <c r="M176" s="764"/>
      <c r="N176" s="764"/>
      <c r="O176" s="764"/>
      <c r="P176" s="764"/>
      <c r="Q176" s="764"/>
      <c r="R176" s="764"/>
      <c r="S176" s="764"/>
      <c r="T176" s="764"/>
      <c r="U176" s="764"/>
      <c r="V176" s="764"/>
      <c r="W176" s="764"/>
      <c r="X176" s="764"/>
      <c r="Y176" s="764"/>
      <c r="Z176" s="727"/>
      <c r="AA176" s="722"/>
      <c r="AB176" s="727"/>
      <c r="AC176" s="720"/>
      <c r="AD176" s="722" t="str">
        <f>+IF(OR(AB176=1,AB176&lt;=5),"Moderado",IF(OR(AB176=6,AB176&lt;=11),"Mayor","Catastrófico"))</f>
        <v>Moderado</v>
      </c>
      <c r="AE176" s="720"/>
      <c r="AF176" s="715"/>
      <c r="AG176" s="52" t="s">
        <v>467</v>
      </c>
      <c r="AH176" s="145"/>
      <c r="AI176" s="145"/>
      <c r="AJ176" s="145"/>
      <c r="AK176" s="28" t="str">
        <f t="shared" si="30"/>
        <v/>
      </c>
      <c r="AL176" s="145"/>
      <c r="AM176" s="28" t="str">
        <f t="shared" si="31"/>
        <v/>
      </c>
      <c r="AN176" s="140"/>
      <c r="AO176" s="28" t="str">
        <f t="shared" si="32"/>
        <v/>
      </c>
      <c r="AP176" s="140"/>
      <c r="AQ176" s="28" t="str">
        <f t="shared" si="33"/>
        <v/>
      </c>
      <c r="AR176" s="140"/>
      <c r="AS176" s="28" t="str">
        <f t="shared" si="34"/>
        <v/>
      </c>
      <c r="AT176" s="140"/>
      <c r="AU176" s="28" t="str">
        <f t="shared" si="35"/>
        <v/>
      </c>
      <c r="AV176" s="140"/>
      <c r="AW176" s="28" t="str">
        <f t="shared" si="36"/>
        <v/>
      </c>
      <c r="AX176" s="111" t="str">
        <f t="shared" si="37"/>
        <v/>
      </c>
      <c r="AY176" s="111" t="str">
        <f t="shared" si="38"/>
        <v/>
      </c>
      <c r="AZ176" s="141"/>
      <c r="BA176" s="153" t="str">
        <f t="shared" si="39"/>
        <v>Débil</v>
      </c>
      <c r="BB176" s="22" t="str">
        <f>IFERROR(VLOOKUP((CONCATENATE(AY176,BA176)),Listados!$U$3:$V$11,2,FALSE),"")</f>
        <v/>
      </c>
      <c r="BC176" s="111">
        <f t="shared" si="40"/>
        <v>100</v>
      </c>
      <c r="BD176" s="717"/>
      <c r="BE176" s="761"/>
      <c r="BF176" s="717"/>
      <c r="BG176" s="717"/>
      <c r="BH176" s="713"/>
      <c r="BI176" s="715"/>
      <c r="BJ176" s="713"/>
      <c r="BK176" s="713"/>
      <c r="BL176" s="799"/>
      <c r="BM176" s="800"/>
      <c r="BN176" s="801"/>
      <c r="BO176" s="799"/>
      <c r="BP176" s="800"/>
      <c r="BQ176" s="801"/>
      <c r="BR176" s="799"/>
      <c r="BS176" s="800"/>
      <c r="BT176" s="801"/>
    </row>
    <row r="177" spans="1:72" ht="15" thickBot="1">
      <c r="A177" s="724"/>
      <c r="B177" s="777"/>
      <c r="C177" s="730"/>
      <c r="D177" s="736"/>
      <c r="E177" s="161"/>
      <c r="F177" s="150"/>
      <c r="G177" s="736"/>
      <c r="H177" s="764"/>
      <c r="I177" s="764"/>
      <c r="J177" s="764"/>
      <c r="K177" s="764"/>
      <c r="L177" s="764"/>
      <c r="M177" s="764"/>
      <c r="N177" s="764"/>
      <c r="O177" s="764"/>
      <c r="P177" s="764"/>
      <c r="Q177" s="764"/>
      <c r="R177" s="764"/>
      <c r="S177" s="764"/>
      <c r="T177" s="764"/>
      <c r="U177" s="764"/>
      <c r="V177" s="764"/>
      <c r="W177" s="764"/>
      <c r="X177" s="764"/>
      <c r="Y177" s="764"/>
      <c r="Z177" s="727"/>
      <c r="AA177" s="722"/>
      <c r="AB177" s="727"/>
      <c r="AC177" s="720"/>
      <c r="AD177" s="722" t="str">
        <f>+IF(OR(AB177=1,AB177&lt;=5),"Moderado",IF(OR(AB177=6,AB177&lt;=11),"Mayor","Catastrófico"))</f>
        <v>Moderado</v>
      </c>
      <c r="AE177" s="720"/>
      <c r="AF177" s="715"/>
      <c r="AG177" s="52" t="s">
        <v>467</v>
      </c>
      <c r="AH177" s="145"/>
      <c r="AI177" s="145"/>
      <c r="AJ177" s="145"/>
      <c r="AK177" s="28" t="str">
        <f t="shared" si="30"/>
        <v/>
      </c>
      <c r="AL177" s="145"/>
      <c r="AM177" s="28" t="str">
        <f t="shared" si="31"/>
        <v/>
      </c>
      <c r="AN177" s="140"/>
      <c r="AO177" s="28" t="str">
        <f t="shared" si="32"/>
        <v/>
      </c>
      <c r="AP177" s="140"/>
      <c r="AQ177" s="28" t="str">
        <f t="shared" si="33"/>
        <v/>
      </c>
      <c r="AR177" s="140"/>
      <c r="AS177" s="28" t="str">
        <f t="shared" si="34"/>
        <v/>
      </c>
      <c r="AT177" s="140"/>
      <c r="AU177" s="28" t="str">
        <f t="shared" si="35"/>
        <v/>
      </c>
      <c r="AV177" s="140"/>
      <c r="AW177" s="28" t="str">
        <f t="shared" si="36"/>
        <v/>
      </c>
      <c r="AX177" s="111" t="str">
        <f t="shared" si="37"/>
        <v/>
      </c>
      <c r="AY177" s="111" t="str">
        <f t="shared" si="38"/>
        <v/>
      </c>
      <c r="AZ177" s="141"/>
      <c r="BA177" s="153" t="str">
        <f t="shared" si="39"/>
        <v>Débil</v>
      </c>
      <c r="BB177" s="22" t="str">
        <f>IFERROR(VLOOKUP((CONCATENATE(AY177,BA177)),Listados!$U$3:$V$11,2,FALSE),"")</f>
        <v/>
      </c>
      <c r="BC177" s="111">
        <f t="shared" si="40"/>
        <v>100</v>
      </c>
      <c r="BD177" s="717"/>
      <c r="BE177" s="761"/>
      <c r="BF177" s="717"/>
      <c r="BG177" s="717"/>
      <c r="BH177" s="713"/>
      <c r="BI177" s="715"/>
      <c r="BJ177" s="713"/>
      <c r="BK177" s="713"/>
      <c r="BL177" s="799"/>
      <c r="BM177" s="800"/>
      <c r="BN177" s="801"/>
      <c r="BO177" s="799"/>
      <c r="BP177" s="800"/>
      <c r="BQ177" s="801"/>
      <c r="BR177" s="799"/>
      <c r="BS177" s="800"/>
      <c r="BT177" s="801"/>
    </row>
    <row r="178" spans="1:72" ht="15" thickBot="1">
      <c r="A178" s="724"/>
      <c r="B178" s="777"/>
      <c r="C178" s="730"/>
      <c r="D178" s="736"/>
      <c r="E178" s="755"/>
      <c r="F178" s="769"/>
      <c r="G178" s="736"/>
      <c r="H178" s="764"/>
      <c r="I178" s="764"/>
      <c r="J178" s="764"/>
      <c r="K178" s="764"/>
      <c r="L178" s="764"/>
      <c r="M178" s="764"/>
      <c r="N178" s="764"/>
      <c r="O178" s="764"/>
      <c r="P178" s="764"/>
      <c r="Q178" s="764"/>
      <c r="R178" s="764"/>
      <c r="S178" s="764"/>
      <c r="T178" s="764"/>
      <c r="U178" s="764"/>
      <c r="V178" s="764"/>
      <c r="W178" s="764"/>
      <c r="X178" s="764"/>
      <c r="Y178" s="764"/>
      <c r="Z178" s="727"/>
      <c r="AA178" s="722"/>
      <c r="AB178" s="727"/>
      <c r="AC178" s="720"/>
      <c r="AD178" s="722" t="str">
        <f>+IF(OR(AB178=1,AB178&lt;=5),"Moderado",IF(OR(AB178=6,AB178&lt;=11),"Mayor","Catastrófico"))</f>
        <v>Moderado</v>
      </c>
      <c r="AE178" s="720"/>
      <c r="AF178" s="715"/>
      <c r="AG178" s="52" t="s">
        <v>467</v>
      </c>
      <c r="AH178" s="145"/>
      <c r="AI178" s="145"/>
      <c r="AJ178" s="145"/>
      <c r="AK178" s="28" t="str">
        <f t="shared" si="30"/>
        <v/>
      </c>
      <c r="AL178" s="145"/>
      <c r="AM178" s="28" t="str">
        <f t="shared" si="31"/>
        <v/>
      </c>
      <c r="AN178" s="140"/>
      <c r="AO178" s="28" t="str">
        <f t="shared" si="32"/>
        <v/>
      </c>
      <c r="AP178" s="140"/>
      <c r="AQ178" s="28" t="str">
        <f t="shared" si="33"/>
        <v/>
      </c>
      <c r="AR178" s="140"/>
      <c r="AS178" s="28" t="str">
        <f t="shared" si="34"/>
        <v/>
      </c>
      <c r="AT178" s="140"/>
      <c r="AU178" s="28" t="str">
        <f t="shared" si="35"/>
        <v/>
      </c>
      <c r="AV178" s="140"/>
      <c r="AW178" s="28" t="str">
        <f t="shared" si="36"/>
        <v/>
      </c>
      <c r="AX178" s="111" t="str">
        <f t="shared" si="37"/>
        <v/>
      </c>
      <c r="AY178" s="111" t="str">
        <f t="shared" si="38"/>
        <v/>
      </c>
      <c r="AZ178" s="141"/>
      <c r="BA178" s="153" t="str">
        <f t="shared" si="39"/>
        <v>Débil</v>
      </c>
      <c r="BB178" s="22" t="str">
        <f>IFERROR(VLOOKUP((CONCATENATE(AY178,BA178)),Listados!$U$3:$V$11,2,FALSE),"")</f>
        <v/>
      </c>
      <c r="BC178" s="111">
        <f t="shared" si="40"/>
        <v>100</v>
      </c>
      <c r="BD178" s="717"/>
      <c r="BE178" s="761"/>
      <c r="BF178" s="717"/>
      <c r="BG178" s="717"/>
      <c r="BH178" s="713"/>
      <c r="BI178" s="715"/>
      <c r="BJ178" s="713"/>
      <c r="BK178" s="713"/>
      <c r="BL178" s="799"/>
      <c r="BM178" s="800"/>
      <c r="BN178" s="801"/>
      <c r="BO178" s="799"/>
      <c r="BP178" s="800"/>
      <c r="BQ178" s="801"/>
      <c r="BR178" s="799"/>
      <c r="BS178" s="800"/>
      <c r="BT178" s="801"/>
    </row>
    <row r="179" spans="1:72" ht="15" thickBot="1">
      <c r="A179" s="724"/>
      <c r="B179" s="777"/>
      <c r="C179" s="730"/>
      <c r="D179" s="736"/>
      <c r="E179" s="756"/>
      <c r="F179" s="770"/>
      <c r="G179" s="736"/>
      <c r="H179" s="764"/>
      <c r="I179" s="764"/>
      <c r="J179" s="764"/>
      <c r="K179" s="764"/>
      <c r="L179" s="764"/>
      <c r="M179" s="764"/>
      <c r="N179" s="764"/>
      <c r="O179" s="764"/>
      <c r="P179" s="764"/>
      <c r="Q179" s="764"/>
      <c r="R179" s="764"/>
      <c r="S179" s="764"/>
      <c r="T179" s="764"/>
      <c r="U179" s="764"/>
      <c r="V179" s="764"/>
      <c r="W179" s="764"/>
      <c r="X179" s="764"/>
      <c r="Y179" s="764"/>
      <c r="Z179" s="727"/>
      <c r="AA179" s="722"/>
      <c r="AB179" s="727"/>
      <c r="AC179" s="720"/>
      <c r="AD179" s="722" t="str">
        <f>+IF(OR(AB179=1,AB179&lt;=5),"Moderado",IF(OR(AB179=6,AB179&lt;=11),"Mayor","Catastrófico"))</f>
        <v>Moderado</v>
      </c>
      <c r="AE179" s="720"/>
      <c r="AF179" s="715"/>
      <c r="AG179" s="52" t="s">
        <v>467</v>
      </c>
      <c r="AH179" s="145"/>
      <c r="AI179" s="145"/>
      <c r="AJ179" s="145"/>
      <c r="AK179" s="28" t="str">
        <f t="shared" si="30"/>
        <v/>
      </c>
      <c r="AL179" s="145"/>
      <c r="AM179" s="28" t="str">
        <f t="shared" si="31"/>
        <v/>
      </c>
      <c r="AN179" s="140"/>
      <c r="AO179" s="28" t="str">
        <f t="shared" si="32"/>
        <v/>
      </c>
      <c r="AP179" s="140"/>
      <c r="AQ179" s="28" t="str">
        <f t="shared" si="33"/>
        <v/>
      </c>
      <c r="AR179" s="140"/>
      <c r="AS179" s="28" t="str">
        <f t="shared" si="34"/>
        <v/>
      </c>
      <c r="AT179" s="140"/>
      <c r="AU179" s="28" t="str">
        <f t="shared" si="35"/>
        <v/>
      </c>
      <c r="AV179" s="140"/>
      <c r="AW179" s="28" t="str">
        <f t="shared" si="36"/>
        <v/>
      </c>
      <c r="AX179" s="111" t="str">
        <f t="shared" si="37"/>
        <v/>
      </c>
      <c r="AY179" s="111" t="str">
        <f t="shared" si="38"/>
        <v/>
      </c>
      <c r="AZ179" s="141"/>
      <c r="BA179" s="153" t="str">
        <f t="shared" si="39"/>
        <v>Débil</v>
      </c>
      <c r="BB179" s="22" t="str">
        <f>IFERROR(VLOOKUP((CONCATENATE(AY179,BA179)),Listados!$U$3:$V$11,2,FALSE),"")</f>
        <v/>
      </c>
      <c r="BC179" s="111">
        <f t="shared" si="40"/>
        <v>100</v>
      </c>
      <c r="BD179" s="717"/>
      <c r="BE179" s="761"/>
      <c r="BF179" s="717"/>
      <c r="BG179" s="717"/>
      <c r="BH179" s="713"/>
      <c r="BI179" s="715"/>
      <c r="BJ179" s="713"/>
      <c r="BK179" s="713"/>
      <c r="BL179" s="799"/>
      <c r="BM179" s="800"/>
      <c r="BN179" s="801"/>
      <c r="BO179" s="799"/>
      <c r="BP179" s="800"/>
      <c r="BQ179" s="801"/>
      <c r="BR179" s="799"/>
      <c r="BS179" s="800"/>
      <c r="BT179" s="801"/>
    </row>
    <row r="180" spans="1:72" ht="15" thickBot="1">
      <c r="A180" s="725"/>
      <c r="B180" s="777"/>
      <c r="C180" s="731"/>
      <c r="D180" s="781"/>
      <c r="E180" s="757"/>
      <c r="F180" s="771"/>
      <c r="G180" s="736"/>
      <c r="H180" s="764"/>
      <c r="I180" s="764"/>
      <c r="J180" s="764"/>
      <c r="K180" s="764"/>
      <c r="L180" s="764"/>
      <c r="M180" s="764"/>
      <c r="N180" s="764"/>
      <c r="O180" s="764"/>
      <c r="P180" s="764"/>
      <c r="Q180" s="764"/>
      <c r="R180" s="764"/>
      <c r="S180" s="764"/>
      <c r="T180" s="764"/>
      <c r="U180" s="764"/>
      <c r="V180" s="764"/>
      <c r="W180" s="764"/>
      <c r="X180" s="764"/>
      <c r="Y180" s="764"/>
      <c r="Z180" s="727"/>
      <c r="AA180" s="722"/>
      <c r="AB180" s="727"/>
      <c r="AC180" s="721"/>
      <c r="AD180" s="722" t="str">
        <f>+IF(OR(AB180=1,AB180&lt;=5),"Moderado",IF(OR(AB180=6,AB180&lt;=11),"Mayor","Catastrófico"))</f>
        <v>Moderado</v>
      </c>
      <c r="AE180" s="721"/>
      <c r="AF180" s="715"/>
      <c r="AG180" s="52" t="s">
        <v>467</v>
      </c>
      <c r="AH180" s="145"/>
      <c r="AI180" s="145"/>
      <c r="AJ180" s="145"/>
      <c r="AK180" s="28" t="str">
        <f t="shared" si="30"/>
        <v/>
      </c>
      <c r="AL180" s="145"/>
      <c r="AM180" s="28" t="str">
        <f t="shared" si="31"/>
        <v/>
      </c>
      <c r="AN180" s="140"/>
      <c r="AO180" s="28" t="str">
        <f t="shared" si="32"/>
        <v/>
      </c>
      <c r="AP180" s="140"/>
      <c r="AQ180" s="28" t="str">
        <f t="shared" si="33"/>
        <v/>
      </c>
      <c r="AR180" s="140"/>
      <c r="AS180" s="28" t="str">
        <f t="shared" si="34"/>
        <v/>
      </c>
      <c r="AT180" s="140"/>
      <c r="AU180" s="28" t="str">
        <f t="shared" si="35"/>
        <v/>
      </c>
      <c r="AV180" s="140"/>
      <c r="AW180" s="28" t="str">
        <f t="shared" si="36"/>
        <v/>
      </c>
      <c r="AX180" s="111" t="str">
        <f t="shared" si="37"/>
        <v/>
      </c>
      <c r="AY180" s="111" t="str">
        <f t="shared" si="38"/>
        <v/>
      </c>
      <c r="AZ180" s="141"/>
      <c r="BA180" s="153" t="str">
        <f t="shared" si="39"/>
        <v>Débil</v>
      </c>
      <c r="BB180" s="22" t="str">
        <f>IFERROR(VLOOKUP((CONCATENATE(AY180,BA180)),Listados!$U$3:$V$11,2,FALSE),"")</f>
        <v/>
      </c>
      <c r="BC180" s="111">
        <f t="shared" si="40"/>
        <v>100</v>
      </c>
      <c r="BD180" s="718"/>
      <c r="BE180" s="761"/>
      <c r="BF180" s="718"/>
      <c r="BG180" s="718"/>
      <c r="BH180" s="714"/>
      <c r="BI180" s="715"/>
      <c r="BJ180" s="714"/>
      <c r="BK180" s="714"/>
      <c r="BL180" s="799"/>
      <c r="BM180" s="800"/>
      <c r="BN180" s="801"/>
      <c r="BO180" s="799"/>
      <c r="BP180" s="800"/>
      <c r="BQ180" s="801"/>
      <c r="BR180" s="799"/>
      <c r="BS180" s="800"/>
      <c r="BT180" s="801"/>
    </row>
    <row r="181" spans="1:72" ht="15" thickBot="1">
      <c r="A181" s="723">
        <v>30</v>
      </c>
      <c r="B181" s="776"/>
      <c r="C181" s="729" t="str">
        <f>IFERROR(VLOOKUP(B181,Listados!B$3:C$20,2,FALSE),"")</f>
        <v/>
      </c>
      <c r="D181" s="735" t="s">
        <v>584</v>
      </c>
      <c r="E181" s="105"/>
      <c r="F181" s="18"/>
      <c r="G181" s="735"/>
      <c r="H181" s="763"/>
      <c r="I181" s="763"/>
      <c r="J181" s="763"/>
      <c r="K181" s="763"/>
      <c r="L181" s="763"/>
      <c r="M181" s="763"/>
      <c r="N181" s="763"/>
      <c r="O181" s="763"/>
      <c r="P181" s="763"/>
      <c r="Q181" s="763"/>
      <c r="R181" s="763"/>
      <c r="S181" s="763"/>
      <c r="T181" s="763"/>
      <c r="U181" s="763"/>
      <c r="V181" s="763"/>
      <c r="W181" s="763"/>
      <c r="X181" s="763"/>
      <c r="Y181" s="763"/>
      <c r="Z181" s="762"/>
      <c r="AA181" s="721">
        <f>COUNTIF(H181:Z186, "SI")</f>
        <v>0</v>
      </c>
      <c r="AB181" s="762"/>
      <c r="AC181" s="719" t="e">
        <f>+VLOOKUP(AB181,Listados!$K$8:$L$12,2,0)</f>
        <v>#N/A</v>
      </c>
      <c r="AD181" s="721" t="str">
        <f>+IF(OR(AA181=1,AA181&lt;=5),"Moderado",IF(OR(AA181=6,AA181&lt;=11),"Mayor","Catastrófico"))</f>
        <v>Moderado</v>
      </c>
      <c r="AE181" s="719" t="e">
        <f>+VLOOKUP(AD181,Listados!K187:L191,2,0)</f>
        <v>#N/A</v>
      </c>
      <c r="AF181" s="714" t="str">
        <f>IF(AND(AB181&lt;&gt;"",AD181&lt;&gt;""),VLOOKUP(AB181&amp;AD181,Listados!$M$3:$N$27,2,FALSE),"")</f>
        <v/>
      </c>
      <c r="AG181" s="52" t="s">
        <v>467</v>
      </c>
      <c r="AH181" s="145"/>
      <c r="AI181" s="145"/>
      <c r="AJ181" s="145"/>
      <c r="AK181" s="28" t="str">
        <f t="shared" si="30"/>
        <v/>
      </c>
      <c r="AL181" s="145"/>
      <c r="AM181" s="28" t="str">
        <f t="shared" si="31"/>
        <v/>
      </c>
      <c r="AN181" s="140"/>
      <c r="AO181" s="28" t="str">
        <f t="shared" si="32"/>
        <v/>
      </c>
      <c r="AP181" s="140"/>
      <c r="AQ181" s="28" t="str">
        <f t="shared" si="33"/>
        <v/>
      </c>
      <c r="AR181" s="140"/>
      <c r="AS181" s="28" t="str">
        <f t="shared" si="34"/>
        <v/>
      </c>
      <c r="AT181" s="140"/>
      <c r="AU181" s="28" t="str">
        <f t="shared" si="35"/>
        <v/>
      </c>
      <c r="AV181" s="140"/>
      <c r="AW181" s="28" t="str">
        <f t="shared" si="36"/>
        <v/>
      </c>
      <c r="AX181" s="111" t="str">
        <f t="shared" si="37"/>
        <v/>
      </c>
      <c r="AY181" s="111" t="str">
        <f t="shared" si="38"/>
        <v/>
      </c>
      <c r="AZ181" s="141"/>
      <c r="BA181" s="153" t="str">
        <f t="shared" si="39"/>
        <v>Débil</v>
      </c>
      <c r="BB181" s="22" t="str">
        <f>IFERROR(VLOOKUP((CONCATENATE(AY181,BA181)),Listados!$U$3:$V$11,2,FALSE),"")</f>
        <v/>
      </c>
      <c r="BC181" s="111">
        <f t="shared" si="40"/>
        <v>100</v>
      </c>
      <c r="BD181" s="716">
        <f>AVERAGE(BC181:BC186)</f>
        <v>100</v>
      </c>
      <c r="BE181" s="718" t="str">
        <f>IF(BD181&lt;=50, "Débil", IF(BD181&lt;=99,"Moderado","Fuerte"))</f>
        <v>Fuerte</v>
      </c>
      <c r="BF181" s="716">
        <f>+IF(BE181="Fuerte",2,IF(BE181="Moderado",1,0))</f>
        <v>2</v>
      </c>
      <c r="BG181" s="716" t="e">
        <f>+AC181-BF181</f>
        <v>#N/A</v>
      </c>
      <c r="BH181" s="712" t="e">
        <f>+VLOOKUP(BG181,Listados!$J$18:$K$24,2,TRUE)</f>
        <v>#N/A</v>
      </c>
      <c r="BI181" s="714" t="str">
        <f>IF(ISBLANK(AD181),"",AD181)</f>
        <v>Moderado</v>
      </c>
      <c r="BJ181" s="712" t="e">
        <f>IF(AND(BH181&lt;&gt;"",BI181&lt;&gt;""),VLOOKUP(BH181&amp;BI181,Listados!$M$3:$N$27,2,FALSE),"")</f>
        <v>#N/A</v>
      </c>
      <c r="BK181" s="712" t="e">
        <f>+VLOOKUP(BJ181,Listados!$P$3:$Q$6,2,FALSE)</f>
        <v>#N/A</v>
      </c>
      <c r="BL181" s="799"/>
      <c r="BM181" s="800"/>
      <c r="BN181" s="801"/>
      <c r="BO181" s="799"/>
      <c r="BP181" s="800"/>
      <c r="BQ181" s="801"/>
      <c r="BR181" s="799"/>
      <c r="BS181" s="800"/>
      <c r="BT181" s="801"/>
    </row>
    <row r="182" spans="1:72" ht="15" thickBot="1">
      <c r="A182" s="724"/>
      <c r="B182" s="777"/>
      <c r="C182" s="730"/>
      <c r="D182" s="736"/>
      <c r="E182" s="161"/>
      <c r="F182" s="150"/>
      <c r="G182" s="736"/>
      <c r="H182" s="764"/>
      <c r="I182" s="764"/>
      <c r="J182" s="764"/>
      <c r="K182" s="764"/>
      <c r="L182" s="764"/>
      <c r="M182" s="764"/>
      <c r="N182" s="764"/>
      <c r="O182" s="764"/>
      <c r="P182" s="764"/>
      <c r="Q182" s="764"/>
      <c r="R182" s="764"/>
      <c r="S182" s="764"/>
      <c r="T182" s="764"/>
      <c r="U182" s="764"/>
      <c r="V182" s="764"/>
      <c r="W182" s="764"/>
      <c r="X182" s="764"/>
      <c r="Y182" s="764"/>
      <c r="Z182" s="727"/>
      <c r="AA182" s="722"/>
      <c r="AB182" s="727"/>
      <c r="AC182" s="720"/>
      <c r="AD182" s="722" t="str">
        <f>+IF(OR(AB182=1,AB182&lt;=5),"Moderado",IF(OR(AB182=6,AB182&lt;=11),"Mayor","Catastrófico"))</f>
        <v>Moderado</v>
      </c>
      <c r="AE182" s="720"/>
      <c r="AF182" s="715"/>
      <c r="AG182" s="52" t="s">
        <v>467</v>
      </c>
      <c r="AH182" s="145"/>
      <c r="AI182" s="145"/>
      <c r="AJ182" s="145"/>
      <c r="AK182" s="28" t="str">
        <f t="shared" si="30"/>
        <v/>
      </c>
      <c r="AL182" s="145"/>
      <c r="AM182" s="28" t="str">
        <f t="shared" si="31"/>
        <v/>
      </c>
      <c r="AN182" s="140"/>
      <c r="AO182" s="28" t="str">
        <f t="shared" si="32"/>
        <v/>
      </c>
      <c r="AP182" s="140"/>
      <c r="AQ182" s="28" t="str">
        <f t="shared" si="33"/>
        <v/>
      </c>
      <c r="AR182" s="140"/>
      <c r="AS182" s="28" t="str">
        <f t="shared" si="34"/>
        <v/>
      </c>
      <c r="AT182" s="140"/>
      <c r="AU182" s="28" t="str">
        <f t="shared" si="35"/>
        <v/>
      </c>
      <c r="AV182" s="140"/>
      <c r="AW182" s="28" t="str">
        <f t="shared" si="36"/>
        <v/>
      </c>
      <c r="AX182" s="111" t="str">
        <f t="shared" si="37"/>
        <v/>
      </c>
      <c r="AY182" s="111" t="str">
        <f t="shared" si="38"/>
        <v/>
      </c>
      <c r="AZ182" s="141"/>
      <c r="BA182" s="153" t="str">
        <f t="shared" si="39"/>
        <v>Débil</v>
      </c>
      <c r="BB182" s="22" t="str">
        <f>IFERROR(VLOOKUP((CONCATENATE(AY182,BA182)),Listados!$U$3:$V$11,2,FALSE),"")</f>
        <v/>
      </c>
      <c r="BC182" s="111">
        <f t="shared" si="40"/>
        <v>100</v>
      </c>
      <c r="BD182" s="717"/>
      <c r="BE182" s="761"/>
      <c r="BF182" s="717"/>
      <c r="BG182" s="717"/>
      <c r="BH182" s="713"/>
      <c r="BI182" s="715"/>
      <c r="BJ182" s="713"/>
      <c r="BK182" s="713"/>
      <c r="BL182" s="799"/>
      <c r="BM182" s="800"/>
      <c r="BN182" s="801"/>
      <c r="BO182" s="799"/>
      <c r="BP182" s="800"/>
      <c r="BQ182" s="801"/>
      <c r="BR182" s="799"/>
      <c r="BS182" s="800"/>
      <c r="BT182" s="801"/>
    </row>
    <row r="183" spans="1:72" ht="15" thickBot="1">
      <c r="A183" s="724"/>
      <c r="B183" s="777"/>
      <c r="C183" s="730"/>
      <c r="D183" s="736"/>
      <c r="E183" s="161"/>
      <c r="F183" s="150"/>
      <c r="G183" s="736"/>
      <c r="H183" s="764"/>
      <c r="I183" s="764"/>
      <c r="J183" s="764"/>
      <c r="K183" s="764"/>
      <c r="L183" s="764"/>
      <c r="M183" s="764"/>
      <c r="N183" s="764"/>
      <c r="O183" s="764"/>
      <c r="P183" s="764"/>
      <c r="Q183" s="764"/>
      <c r="R183" s="764"/>
      <c r="S183" s="764"/>
      <c r="T183" s="764"/>
      <c r="U183" s="764"/>
      <c r="V183" s="764"/>
      <c r="W183" s="764"/>
      <c r="X183" s="764"/>
      <c r="Y183" s="764"/>
      <c r="Z183" s="727"/>
      <c r="AA183" s="722"/>
      <c r="AB183" s="727"/>
      <c r="AC183" s="720"/>
      <c r="AD183" s="722" t="str">
        <f>+IF(OR(AB183=1,AB183&lt;=5),"Moderado",IF(OR(AB183=6,AB183&lt;=11),"Mayor","Catastrófico"))</f>
        <v>Moderado</v>
      </c>
      <c r="AE183" s="720"/>
      <c r="AF183" s="715"/>
      <c r="AG183" s="52" t="s">
        <v>467</v>
      </c>
      <c r="AH183" s="145"/>
      <c r="AI183" s="145"/>
      <c r="AJ183" s="145"/>
      <c r="AK183" s="28" t="str">
        <f t="shared" si="30"/>
        <v/>
      </c>
      <c r="AL183" s="145"/>
      <c r="AM183" s="28" t="str">
        <f t="shared" si="31"/>
        <v/>
      </c>
      <c r="AN183" s="140"/>
      <c r="AO183" s="28" t="str">
        <f t="shared" si="32"/>
        <v/>
      </c>
      <c r="AP183" s="140"/>
      <c r="AQ183" s="28" t="str">
        <f t="shared" si="33"/>
        <v/>
      </c>
      <c r="AR183" s="140"/>
      <c r="AS183" s="28" t="str">
        <f t="shared" si="34"/>
        <v/>
      </c>
      <c r="AT183" s="140"/>
      <c r="AU183" s="28" t="str">
        <f t="shared" si="35"/>
        <v/>
      </c>
      <c r="AV183" s="140"/>
      <c r="AW183" s="28" t="str">
        <f t="shared" si="36"/>
        <v/>
      </c>
      <c r="AX183" s="111" t="str">
        <f t="shared" si="37"/>
        <v/>
      </c>
      <c r="AY183" s="111" t="str">
        <f t="shared" si="38"/>
        <v/>
      </c>
      <c r="AZ183" s="141"/>
      <c r="BA183" s="153" t="str">
        <f t="shared" si="39"/>
        <v>Débil</v>
      </c>
      <c r="BB183" s="22" t="str">
        <f>IFERROR(VLOOKUP((CONCATENATE(AY183,BA183)),Listados!$U$3:$V$11,2,FALSE),"")</f>
        <v/>
      </c>
      <c r="BC183" s="111">
        <f t="shared" si="40"/>
        <v>100</v>
      </c>
      <c r="BD183" s="717"/>
      <c r="BE183" s="761"/>
      <c r="BF183" s="717"/>
      <c r="BG183" s="717"/>
      <c r="BH183" s="713"/>
      <c r="BI183" s="715"/>
      <c r="BJ183" s="713"/>
      <c r="BK183" s="713"/>
      <c r="BL183" s="799"/>
      <c r="BM183" s="800"/>
      <c r="BN183" s="801"/>
      <c r="BO183" s="799"/>
      <c r="BP183" s="800"/>
      <c r="BQ183" s="801"/>
      <c r="BR183" s="799"/>
      <c r="BS183" s="800"/>
      <c r="BT183" s="801"/>
    </row>
    <row r="184" spans="1:72" ht="15" thickBot="1">
      <c r="A184" s="724"/>
      <c r="B184" s="777"/>
      <c r="C184" s="730"/>
      <c r="D184" s="736"/>
      <c r="E184" s="755"/>
      <c r="F184" s="769"/>
      <c r="G184" s="736"/>
      <c r="H184" s="764"/>
      <c r="I184" s="764"/>
      <c r="J184" s="764"/>
      <c r="K184" s="764"/>
      <c r="L184" s="764"/>
      <c r="M184" s="764"/>
      <c r="N184" s="764"/>
      <c r="O184" s="764"/>
      <c r="P184" s="764"/>
      <c r="Q184" s="764"/>
      <c r="R184" s="764"/>
      <c r="S184" s="764"/>
      <c r="T184" s="764"/>
      <c r="U184" s="764"/>
      <c r="V184" s="764"/>
      <c r="W184" s="764"/>
      <c r="X184" s="764"/>
      <c r="Y184" s="764"/>
      <c r="Z184" s="727"/>
      <c r="AA184" s="722"/>
      <c r="AB184" s="727"/>
      <c r="AC184" s="720"/>
      <c r="AD184" s="722" t="str">
        <f>+IF(OR(AB184=1,AB184&lt;=5),"Moderado",IF(OR(AB184=6,AB184&lt;=11),"Mayor","Catastrófico"))</f>
        <v>Moderado</v>
      </c>
      <c r="AE184" s="720"/>
      <c r="AF184" s="715"/>
      <c r="AG184" s="52" t="s">
        <v>467</v>
      </c>
      <c r="AH184" s="145"/>
      <c r="AI184" s="145"/>
      <c r="AJ184" s="145"/>
      <c r="AK184" s="28" t="str">
        <f t="shared" si="30"/>
        <v/>
      </c>
      <c r="AL184" s="145"/>
      <c r="AM184" s="28" t="str">
        <f t="shared" si="31"/>
        <v/>
      </c>
      <c r="AN184" s="140"/>
      <c r="AO184" s="28" t="str">
        <f t="shared" si="32"/>
        <v/>
      </c>
      <c r="AP184" s="140"/>
      <c r="AQ184" s="28" t="str">
        <f t="shared" si="33"/>
        <v/>
      </c>
      <c r="AR184" s="140"/>
      <c r="AS184" s="28" t="str">
        <f t="shared" si="34"/>
        <v/>
      </c>
      <c r="AT184" s="140"/>
      <c r="AU184" s="28" t="str">
        <f t="shared" si="35"/>
        <v/>
      </c>
      <c r="AV184" s="140"/>
      <c r="AW184" s="28" t="str">
        <f t="shared" si="36"/>
        <v/>
      </c>
      <c r="AX184" s="111" t="str">
        <f t="shared" si="37"/>
        <v/>
      </c>
      <c r="AY184" s="111" t="str">
        <f t="shared" si="38"/>
        <v/>
      </c>
      <c r="AZ184" s="141"/>
      <c r="BA184" s="153" t="str">
        <f t="shared" si="39"/>
        <v>Débil</v>
      </c>
      <c r="BB184" s="22" t="str">
        <f>IFERROR(VLOOKUP((CONCATENATE(AY184,BA184)),Listados!$U$3:$V$11,2,FALSE),"")</f>
        <v/>
      </c>
      <c r="BC184" s="111">
        <f t="shared" si="40"/>
        <v>100</v>
      </c>
      <c r="BD184" s="717"/>
      <c r="BE184" s="761"/>
      <c r="BF184" s="717"/>
      <c r="BG184" s="717"/>
      <c r="BH184" s="713"/>
      <c r="BI184" s="715"/>
      <c r="BJ184" s="713"/>
      <c r="BK184" s="713"/>
      <c r="BL184" s="799"/>
      <c r="BM184" s="800"/>
      <c r="BN184" s="801"/>
      <c r="BO184" s="799"/>
      <c r="BP184" s="800"/>
      <c r="BQ184" s="801"/>
      <c r="BR184" s="799"/>
      <c r="BS184" s="800"/>
      <c r="BT184" s="801"/>
    </row>
    <row r="185" spans="1:72" ht="15" thickBot="1">
      <c r="A185" s="724"/>
      <c r="B185" s="777"/>
      <c r="C185" s="730"/>
      <c r="D185" s="736"/>
      <c r="E185" s="756"/>
      <c r="F185" s="770"/>
      <c r="G185" s="736"/>
      <c r="H185" s="764"/>
      <c r="I185" s="764"/>
      <c r="J185" s="764"/>
      <c r="K185" s="764"/>
      <c r="L185" s="764"/>
      <c r="M185" s="764"/>
      <c r="N185" s="764"/>
      <c r="O185" s="764"/>
      <c r="P185" s="764"/>
      <c r="Q185" s="764"/>
      <c r="R185" s="764"/>
      <c r="S185" s="764"/>
      <c r="T185" s="764"/>
      <c r="U185" s="764"/>
      <c r="V185" s="764"/>
      <c r="W185" s="764"/>
      <c r="X185" s="764"/>
      <c r="Y185" s="764"/>
      <c r="Z185" s="727"/>
      <c r="AA185" s="722"/>
      <c r="AB185" s="727"/>
      <c r="AC185" s="720"/>
      <c r="AD185" s="722" t="str">
        <f>+IF(OR(AB185=1,AB185&lt;=5),"Moderado",IF(OR(AB185=6,AB185&lt;=11),"Mayor","Catastrófico"))</f>
        <v>Moderado</v>
      </c>
      <c r="AE185" s="720"/>
      <c r="AF185" s="715"/>
      <c r="AG185" s="52" t="s">
        <v>467</v>
      </c>
      <c r="AH185" s="145"/>
      <c r="AI185" s="145"/>
      <c r="AJ185" s="145"/>
      <c r="AK185" s="28" t="str">
        <f t="shared" si="30"/>
        <v/>
      </c>
      <c r="AL185" s="145"/>
      <c r="AM185" s="28" t="str">
        <f t="shared" si="31"/>
        <v/>
      </c>
      <c r="AN185" s="140"/>
      <c r="AO185" s="28" t="str">
        <f t="shared" si="32"/>
        <v/>
      </c>
      <c r="AP185" s="140"/>
      <c r="AQ185" s="28" t="str">
        <f t="shared" si="33"/>
        <v/>
      </c>
      <c r="AR185" s="140"/>
      <c r="AS185" s="28" t="str">
        <f t="shared" si="34"/>
        <v/>
      </c>
      <c r="AT185" s="140"/>
      <c r="AU185" s="28" t="str">
        <f t="shared" si="35"/>
        <v/>
      </c>
      <c r="AV185" s="140"/>
      <c r="AW185" s="28" t="str">
        <f t="shared" si="36"/>
        <v/>
      </c>
      <c r="AX185" s="111" t="str">
        <f t="shared" si="37"/>
        <v/>
      </c>
      <c r="AY185" s="111" t="str">
        <f t="shared" si="38"/>
        <v/>
      </c>
      <c r="AZ185" s="141"/>
      <c r="BA185" s="153" t="str">
        <f t="shared" si="39"/>
        <v>Débil</v>
      </c>
      <c r="BB185" s="22" t="str">
        <f>IFERROR(VLOOKUP((CONCATENATE(AY185,BA185)),Listados!$U$3:$V$11,2,FALSE),"")</f>
        <v/>
      </c>
      <c r="BC185" s="111">
        <f t="shared" si="40"/>
        <v>100</v>
      </c>
      <c r="BD185" s="717"/>
      <c r="BE185" s="761"/>
      <c r="BF185" s="717"/>
      <c r="BG185" s="717"/>
      <c r="BH185" s="713"/>
      <c r="BI185" s="715"/>
      <c r="BJ185" s="713"/>
      <c r="BK185" s="713"/>
      <c r="BL185" s="799"/>
      <c r="BM185" s="800"/>
      <c r="BN185" s="801"/>
      <c r="BO185" s="799"/>
      <c r="BP185" s="800"/>
      <c r="BQ185" s="801"/>
      <c r="BR185" s="799"/>
      <c r="BS185" s="800"/>
      <c r="BT185" s="801"/>
    </row>
    <row r="186" spans="1:72" ht="15" thickBot="1">
      <c r="A186" s="725"/>
      <c r="B186" s="777"/>
      <c r="C186" s="731"/>
      <c r="D186" s="781"/>
      <c r="E186" s="757"/>
      <c r="F186" s="771"/>
      <c r="G186" s="736"/>
      <c r="H186" s="764"/>
      <c r="I186" s="764"/>
      <c r="J186" s="764"/>
      <c r="K186" s="764"/>
      <c r="L186" s="764"/>
      <c r="M186" s="764"/>
      <c r="N186" s="764"/>
      <c r="O186" s="764"/>
      <c r="P186" s="764"/>
      <c r="Q186" s="764"/>
      <c r="R186" s="764"/>
      <c r="S186" s="764"/>
      <c r="T186" s="764"/>
      <c r="U186" s="764"/>
      <c r="V186" s="764"/>
      <c r="W186" s="764"/>
      <c r="X186" s="764"/>
      <c r="Y186" s="764"/>
      <c r="Z186" s="727"/>
      <c r="AA186" s="722"/>
      <c r="AB186" s="727"/>
      <c r="AC186" s="721"/>
      <c r="AD186" s="722" t="str">
        <f>+IF(OR(AB186=1,AB186&lt;=5),"Moderado",IF(OR(AB186=6,AB186&lt;=11),"Mayor","Catastrófico"))</f>
        <v>Moderado</v>
      </c>
      <c r="AE186" s="721"/>
      <c r="AF186" s="715"/>
      <c r="AG186" s="52" t="s">
        <v>467</v>
      </c>
      <c r="AH186" s="145"/>
      <c r="AI186" s="145"/>
      <c r="AJ186" s="145"/>
      <c r="AK186" s="28" t="str">
        <f t="shared" si="30"/>
        <v/>
      </c>
      <c r="AL186" s="145"/>
      <c r="AM186" s="28" t="str">
        <f t="shared" si="31"/>
        <v/>
      </c>
      <c r="AN186" s="140"/>
      <c r="AO186" s="28" t="str">
        <f t="shared" si="32"/>
        <v/>
      </c>
      <c r="AP186" s="140"/>
      <c r="AQ186" s="28" t="str">
        <f t="shared" si="33"/>
        <v/>
      </c>
      <c r="AR186" s="140"/>
      <c r="AS186" s="28" t="str">
        <f t="shared" si="34"/>
        <v/>
      </c>
      <c r="AT186" s="140"/>
      <c r="AU186" s="28" t="str">
        <f t="shared" si="35"/>
        <v/>
      </c>
      <c r="AV186" s="140"/>
      <c r="AW186" s="28" t="str">
        <f t="shared" si="36"/>
        <v/>
      </c>
      <c r="AX186" s="111" t="str">
        <f t="shared" si="37"/>
        <v/>
      </c>
      <c r="AY186" s="111" t="str">
        <f t="shared" si="38"/>
        <v/>
      </c>
      <c r="AZ186" s="141"/>
      <c r="BA186" s="153" t="str">
        <f t="shared" si="39"/>
        <v>Débil</v>
      </c>
      <c r="BB186" s="22" t="str">
        <f>IFERROR(VLOOKUP((CONCATENATE(AY186,BA186)),Listados!$U$3:$V$11,2,FALSE),"")</f>
        <v/>
      </c>
      <c r="BC186" s="111">
        <f t="shared" si="40"/>
        <v>100</v>
      </c>
      <c r="BD186" s="718"/>
      <c r="BE186" s="761"/>
      <c r="BF186" s="718"/>
      <c r="BG186" s="718"/>
      <c r="BH186" s="714"/>
      <c r="BI186" s="715"/>
      <c r="BJ186" s="714"/>
      <c r="BK186" s="714"/>
      <c r="BL186" s="799"/>
      <c r="BM186" s="800"/>
      <c r="BN186" s="801"/>
      <c r="BO186" s="799"/>
      <c r="BP186" s="800"/>
      <c r="BQ186" s="801"/>
      <c r="BR186" s="799"/>
      <c r="BS186" s="800"/>
      <c r="BT186" s="801"/>
    </row>
    <row r="187" spans="1:72" ht="15" thickBot="1">
      <c r="A187" s="723">
        <v>31</v>
      </c>
      <c r="B187" s="776"/>
      <c r="C187" s="729" t="str">
        <f>IFERROR(VLOOKUP(B187,Listados!B$3:C$20,2,FALSE),"")</f>
        <v/>
      </c>
      <c r="D187" s="735" t="s">
        <v>584</v>
      </c>
      <c r="E187" s="105"/>
      <c r="F187" s="18"/>
      <c r="G187" s="735"/>
      <c r="H187" s="763"/>
      <c r="I187" s="763"/>
      <c r="J187" s="763"/>
      <c r="K187" s="763"/>
      <c r="L187" s="763"/>
      <c r="M187" s="763"/>
      <c r="N187" s="763"/>
      <c r="O187" s="763"/>
      <c r="P187" s="763"/>
      <c r="Q187" s="763"/>
      <c r="R187" s="763"/>
      <c r="S187" s="763"/>
      <c r="T187" s="763"/>
      <c r="U187" s="763"/>
      <c r="V187" s="763"/>
      <c r="W187" s="763"/>
      <c r="X187" s="763"/>
      <c r="Y187" s="763"/>
      <c r="Z187" s="762"/>
      <c r="AA187" s="721">
        <f>COUNTIF(H187:Z192, "SI")</f>
        <v>0</v>
      </c>
      <c r="AB187" s="762"/>
      <c r="AC187" s="719" t="e">
        <f>+VLOOKUP(AB187,Listados!$K$8:$L$12,2,0)</f>
        <v>#N/A</v>
      </c>
      <c r="AD187" s="721" t="str">
        <f>+IF(OR(AA187=1,AA187&lt;=5),"Moderado",IF(OR(AA187=6,AA187&lt;=11),"Mayor","Catastrófico"))</f>
        <v>Moderado</v>
      </c>
      <c r="AE187" s="719" t="e">
        <f>+VLOOKUP(AD187,Listados!K193:L197,2,0)</f>
        <v>#N/A</v>
      </c>
      <c r="AF187" s="714" t="str">
        <f>IF(AND(AB187&lt;&gt;"",AD187&lt;&gt;""),VLOOKUP(AB187&amp;AD187,Listados!$M$3:$N$27,2,FALSE),"")</f>
        <v/>
      </c>
      <c r="AG187" s="52" t="s">
        <v>467</v>
      </c>
      <c r="AH187" s="145"/>
      <c r="AI187" s="145"/>
      <c r="AJ187" s="145"/>
      <c r="AK187" s="28" t="str">
        <f t="shared" si="30"/>
        <v/>
      </c>
      <c r="AL187" s="145"/>
      <c r="AM187" s="28" t="str">
        <f t="shared" si="31"/>
        <v/>
      </c>
      <c r="AN187" s="140"/>
      <c r="AO187" s="28" t="str">
        <f t="shared" si="32"/>
        <v/>
      </c>
      <c r="AP187" s="140"/>
      <c r="AQ187" s="28" t="str">
        <f t="shared" si="33"/>
        <v/>
      </c>
      <c r="AR187" s="140"/>
      <c r="AS187" s="28" t="str">
        <f t="shared" si="34"/>
        <v/>
      </c>
      <c r="AT187" s="140"/>
      <c r="AU187" s="28" t="str">
        <f t="shared" si="35"/>
        <v/>
      </c>
      <c r="AV187" s="140"/>
      <c r="AW187" s="28" t="str">
        <f t="shared" si="36"/>
        <v/>
      </c>
      <c r="AX187" s="111" t="str">
        <f t="shared" si="37"/>
        <v/>
      </c>
      <c r="AY187" s="111" t="str">
        <f t="shared" si="38"/>
        <v/>
      </c>
      <c r="AZ187" s="141"/>
      <c r="BA187" s="153" t="str">
        <f t="shared" si="39"/>
        <v>Débil</v>
      </c>
      <c r="BB187" s="22" t="str">
        <f>IFERROR(VLOOKUP((CONCATENATE(AY187,BA187)),Listados!$U$3:$V$11,2,FALSE),"")</f>
        <v/>
      </c>
      <c r="BC187" s="111">
        <f t="shared" si="40"/>
        <v>100</v>
      </c>
      <c r="BD187" s="716">
        <f>AVERAGE(BC187:BC192)</f>
        <v>100</v>
      </c>
      <c r="BE187" s="718" t="str">
        <f>IF(BD187&lt;=50, "Débil", IF(BD187&lt;=99,"Moderado","Fuerte"))</f>
        <v>Fuerte</v>
      </c>
      <c r="BF187" s="716">
        <f>+IF(BE187="Fuerte",2,IF(BE187="Moderado",1,0))</f>
        <v>2</v>
      </c>
      <c r="BG187" s="716" t="e">
        <f>+AC187-BF187</f>
        <v>#N/A</v>
      </c>
      <c r="BH187" s="712" t="e">
        <f>+VLOOKUP(BG187,Listados!$J$18:$K$24,2,TRUE)</f>
        <v>#N/A</v>
      </c>
      <c r="BI187" s="714" t="str">
        <f>IF(ISBLANK(AD187),"",AD187)</f>
        <v>Moderado</v>
      </c>
      <c r="BJ187" s="712" t="e">
        <f>IF(AND(BH187&lt;&gt;"",BI187&lt;&gt;""),VLOOKUP(BH187&amp;BI187,Listados!$M$3:$N$27,2,FALSE),"")</f>
        <v>#N/A</v>
      </c>
      <c r="BK187" s="712" t="e">
        <f>+VLOOKUP(BJ187,Listados!$P$3:$Q$6,2,FALSE)</f>
        <v>#N/A</v>
      </c>
      <c r="BL187" s="799"/>
      <c r="BM187" s="800"/>
      <c r="BN187" s="801"/>
      <c r="BO187" s="799"/>
      <c r="BP187" s="800"/>
      <c r="BQ187" s="801"/>
      <c r="BR187" s="799"/>
      <c r="BS187" s="800"/>
      <c r="BT187" s="801"/>
    </row>
    <row r="188" spans="1:72" ht="15" thickBot="1">
      <c r="A188" s="724"/>
      <c r="B188" s="777"/>
      <c r="C188" s="730"/>
      <c r="D188" s="736"/>
      <c r="E188" s="161"/>
      <c r="F188" s="150"/>
      <c r="G188" s="736"/>
      <c r="H188" s="764"/>
      <c r="I188" s="764"/>
      <c r="J188" s="764"/>
      <c r="K188" s="764"/>
      <c r="L188" s="764"/>
      <c r="M188" s="764"/>
      <c r="N188" s="764"/>
      <c r="O188" s="764"/>
      <c r="P188" s="764"/>
      <c r="Q188" s="764"/>
      <c r="R188" s="764"/>
      <c r="S188" s="764"/>
      <c r="T188" s="764"/>
      <c r="U188" s="764"/>
      <c r="V188" s="764"/>
      <c r="W188" s="764"/>
      <c r="X188" s="764"/>
      <c r="Y188" s="764"/>
      <c r="Z188" s="727"/>
      <c r="AA188" s="722"/>
      <c r="AB188" s="727"/>
      <c r="AC188" s="720"/>
      <c r="AD188" s="722" t="str">
        <f>+IF(OR(AB188=1,AB188&lt;=5),"Moderado",IF(OR(AB188=6,AB188&lt;=11),"Mayor","Catastrófico"))</f>
        <v>Moderado</v>
      </c>
      <c r="AE188" s="720"/>
      <c r="AF188" s="715"/>
      <c r="AG188" s="52" t="s">
        <v>467</v>
      </c>
      <c r="AH188" s="145"/>
      <c r="AI188" s="145"/>
      <c r="AJ188" s="145"/>
      <c r="AK188" s="28" t="str">
        <f t="shared" si="30"/>
        <v/>
      </c>
      <c r="AL188" s="145"/>
      <c r="AM188" s="28" t="str">
        <f t="shared" si="31"/>
        <v/>
      </c>
      <c r="AN188" s="140"/>
      <c r="AO188" s="28" t="str">
        <f t="shared" si="32"/>
        <v/>
      </c>
      <c r="AP188" s="140"/>
      <c r="AQ188" s="28" t="str">
        <f t="shared" si="33"/>
        <v/>
      </c>
      <c r="AR188" s="140"/>
      <c r="AS188" s="28" t="str">
        <f t="shared" si="34"/>
        <v/>
      </c>
      <c r="AT188" s="140"/>
      <c r="AU188" s="28" t="str">
        <f t="shared" si="35"/>
        <v/>
      </c>
      <c r="AV188" s="140"/>
      <c r="AW188" s="28" t="str">
        <f t="shared" si="36"/>
        <v/>
      </c>
      <c r="AX188" s="111" t="str">
        <f t="shared" si="37"/>
        <v/>
      </c>
      <c r="AY188" s="111" t="str">
        <f t="shared" si="38"/>
        <v/>
      </c>
      <c r="AZ188" s="141"/>
      <c r="BA188" s="153" t="str">
        <f t="shared" si="39"/>
        <v>Débil</v>
      </c>
      <c r="BB188" s="22" t="str">
        <f>IFERROR(VLOOKUP((CONCATENATE(AY188,BA188)),Listados!$U$3:$V$11,2,FALSE),"")</f>
        <v/>
      </c>
      <c r="BC188" s="111">
        <f t="shared" si="40"/>
        <v>100</v>
      </c>
      <c r="BD188" s="717"/>
      <c r="BE188" s="761"/>
      <c r="BF188" s="717"/>
      <c r="BG188" s="717"/>
      <c r="BH188" s="713"/>
      <c r="BI188" s="715"/>
      <c r="BJ188" s="713"/>
      <c r="BK188" s="713"/>
      <c r="BL188" s="799"/>
      <c r="BM188" s="800"/>
      <c r="BN188" s="801"/>
      <c r="BO188" s="799"/>
      <c r="BP188" s="800"/>
      <c r="BQ188" s="801"/>
      <c r="BR188" s="799"/>
      <c r="BS188" s="800"/>
      <c r="BT188" s="801"/>
    </row>
    <row r="189" spans="1:72" ht="15" thickBot="1">
      <c r="A189" s="724"/>
      <c r="B189" s="777"/>
      <c r="C189" s="730"/>
      <c r="D189" s="736"/>
      <c r="E189" s="161"/>
      <c r="F189" s="150"/>
      <c r="G189" s="736"/>
      <c r="H189" s="764"/>
      <c r="I189" s="764"/>
      <c r="J189" s="764"/>
      <c r="K189" s="764"/>
      <c r="L189" s="764"/>
      <c r="M189" s="764"/>
      <c r="N189" s="764"/>
      <c r="O189" s="764"/>
      <c r="P189" s="764"/>
      <c r="Q189" s="764"/>
      <c r="R189" s="764"/>
      <c r="S189" s="764"/>
      <c r="T189" s="764"/>
      <c r="U189" s="764"/>
      <c r="V189" s="764"/>
      <c r="W189" s="764"/>
      <c r="X189" s="764"/>
      <c r="Y189" s="764"/>
      <c r="Z189" s="727"/>
      <c r="AA189" s="722"/>
      <c r="AB189" s="727"/>
      <c r="AC189" s="720"/>
      <c r="AD189" s="722" t="str">
        <f>+IF(OR(AB189=1,AB189&lt;=5),"Moderado",IF(OR(AB189=6,AB189&lt;=11),"Mayor","Catastrófico"))</f>
        <v>Moderado</v>
      </c>
      <c r="AE189" s="720"/>
      <c r="AF189" s="715"/>
      <c r="AG189" s="52" t="s">
        <v>467</v>
      </c>
      <c r="AH189" s="145"/>
      <c r="AI189" s="145"/>
      <c r="AJ189" s="145"/>
      <c r="AK189" s="28" t="str">
        <f t="shared" si="30"/>
        <v/>
      </c>
      <c r="AL189" s="145"/>
      <c r="AM189" s="28" t="str">
        <f t="shared" si="31"/>
        <v/>
      </c>
      <c r="AN189" s="140"/>
      <c r="AO189" s="28" t="str">
        <f t="shared" si="32"/>
        <v/>
      </c>
      <c r="AP189" s="140"/>
      <c r="AQ189" s="28" t="str">
        <f t="shared" si="33"/>
        <v/>
      </c>
      <c r="AR189" s="140"/>
      <c r="AS189" s="28" t="str">
        <f t="shared" si="34"/>
        <v/>
      </c>
      <c r="AT189" s="140"/>
      <c r="AU189" s="28" t="str">
        <f t="shared" si="35"/>
        <v/>
      </c>
      <c r="AV189" s="140"/>
      <c r="AW189" s="28" t="str">
        <f t="shared" si="36"/>
        <v/>
      </c>
      <c r="AX189" s="111" t="str">
        <f t="shared" si="37"/>
        <v/>
      </c>
      <c r="AY189" s="111" t="str">
        <f t="shared" si="38"/>
        <v/>
      </c>
      <c r="AZ189" s="141"/>
      <c r="BA189" s="153" t="str">
        <f t="shared" si="39"/>
        <v>Débil</v>
      </c>
      <c r="BB189" s="22" t="str">
        <f>IFERROR(VLOOKUP((CONCATENATE(AY189,BA189)),Listados!$U$3:$V$11,2,FALSE),"")</f>
        <v/>
      </c>
      <c r="BC189" s="111">
        <f t="shared" si="40"/>
        <v>100</v>
      </c>
      <c r="BD189" s="717"/>
      <c r="BE189" s="761"/>
      <c r="BF189" s="717"/>
      <c r="BG189" s="717"/>
      <c r="BH189" s="713"/>
      <c r="BI189" s="715"/>
      <c r="BJ189" s="713"/>
      <c r="BK189" s="713"/>
      <c r="BL189" s="799"/>
      <c r="BM189" s="800"/>
      <c r="BN189" s="801"/>
      <c r="BO189" s="799"/>
      <c r="BP189" s="800"/>
      <c r="BQ189" s="801"/>
      <c r="BR189" s="799"/>
      <c r="BS189" s="800"/>
      <c r="BT189" s="801"/>
    </row>
    <row r="190" spans="1:72" ht="15" thickBot="1">
      <c r="A190" s="724"/>
      <c r="B190" s="777"/>
      <c r="C190" s="730"/>
      <c r="D190" s="736"/>
      <c r="E190" s="755"/>
      <c r="F190" s="769"/>
      <c r="G190" s="736"/>
      <c r="H190" s="764"/>
      <c r="I190" s="764"/>
      <c r="J190" s="764"/>
      <c r="K190" s="764"/>
      <c r="L190" s="764"/>
      <c r="M190" s="764"/>
      <c r="N190" s="764"/>
      <c r="O190" s="764"/>
      <c r="P190" s="764"/>
      <c r="Q190" s="764"/>
      <c r="R190" s="764"/>
      <c r="S190" s="764"/>
      <c r="T190" s="764"/>
      <c r="U190" s="764"/>
      <c r="V190" s="764"/>
      <c r="W190" s="764"/>
      <c r="X190" s="764"/>
      <c r="Y190" s="764"/>
      <c r="Z190" s="727"/>
      <c r="AA190" s="722"/>
      <c r="AB190" s="727"/>
      <c r="AC190" s="720"/>
      <c r="AD190" s="722" t="str">
        <f>+IF(OR(AB190=1,AB190&lt;=5),"Moderado",IF(OR(AB190=6,AB190&lt;=11),"Mayor","Catastrófico"))</f>
        <v>Moderado</v>
      </c>
      <c r="AE190" s="720"/>
      <c r="AF190" s="715"/>
      <c r="AG190" s="52" t="s">
        <v>467</v>
      </c>
      <c r="AH190" s="145"/>
      <c r="AI190" s="145"/>
      <c r="AJ190" s="145"/>
      <c r="AK190" s="28" t="str">
        <f t="shared" si="30"/>
        <v/>
      </c>
      <c r="AL190" s="145"/>
      <c r="AM190" s="28" t="str">
        <f t="shared" si="31"/>
        <v/>
      </c>
      <c r="AN190" s="140"/>
      <c r="AO190" s="28" t="str">
        <f t="shared" si="32"/>
        <v/>
      </c>
      <c r="AP190" s="140"/>
      <c r="AQ190" s="28" t="str">
        <f t="shared" si="33"/>
        <v/>
      </c>
      <c r="AR190" s="140"/>
      <c r="AS190" s="28" t="str">
        <f t="shared" si="34"/>
        <v/>
      </c>
      <c r="AT190" s="140"/>
      <c r="AU190" s="28" t="str">
        <f t="shared" si="35"/>
        <v/>
      </c>
      <c r="AV190" s="140"/>
      <c r="AW190" s="28" t="str">
        <f t="shared" si="36"/>
        <v/>
      </c>
      <c r="AX190" s="111" t="str">
        <f t="shared" si="37"/>
        <v/>
      </c>
      <c r="AY190" s="111" t="str">
        <f t="shared" si="38"/>
        <v/>
      </c>
      <c r="AZ190" s="141"/>
      <c r="BA190" s="153" t="str">
        <f t="shared" si="39"/>
        <v>Débil</v>
      </c>
      <c r="BB190" s="22" t="str">
        <f>IFERROR(VLOOKUP((CONCATENATE(AY190,BA190)),Listados!$U$3:$V$11,2,FALSE),"")</f>
        <v/>
      </c>
      <c r="BC190" s="111">
        <f t="shared" si="40"/>
        <v>100</v>
      </c>
      <c r="BD190" s="717"/>
      <c r="BE190" s="761"/>
      <c r="BF190" s="717"/>
      <c r="BG190" s="717"/>
      <c r="BH190" s="713"/>
      <c r="BI190" s="715"/>
      <c r="BJ190" s="713"/>
      <c r="BK190" s="713"/>
      <c r="BL190" s="799"/>
      <c r="BM190" s="800"/>
      <c r="BN190" s="801"/>
      <c r="BO190" s="799"/>
      <c r="BP190" s="800"/>
      <c r="BQ190" s="801"/>
      <c r="BR190" s="799"/>
      <c r="BS190" s="800"/>
      <c r="BT190" s="801"/>
    </row>
    <row r="191" spans="1:72" ht="15" thickBot="1">
      <c r="A191" s="724"/>
      <c r="B191" s="777"/>
      <c r="C191" s="730"/>
      <c r="D191" s="736"/>
      <c r="E191" s="756"/>
      <c r="F191" s="770"/>
      <c r="G191" s="736"/>
      <c r="H191" s="764"/>
      <c r="I191" s="764"/>
      <c r="J191" s="764"/>
      <c r="K191" s="764"/>
      <c r="L191" s="764"/>
      <c r="M191" s="764"/>
      <c r="N191" s="764"/>
      <c r="O191" s="764"/>
      <c r="P191" s="764"/>
      <c r="Q191" s="764"/>
      <c r="R191" s="764"/>
      <c r="S191" s="764"/>
      <c r="T191" s="764"/>
      <c r="U191" s="764"/>
      <c r="V191" s="764"/>
      <c r="W191" s="764"/>
      <c r="X191" s="764"/>
      <c r="Y191" s="764"/>
      <c r="Z191" s="727"/>
      <c r="AA191" s="722"/>
      <c r="AB191" s="727"/>
      <c r="AC191" s="720"/>
      <c r="AD191" s="722" t="str">
        <f>+IF(OR(AB191=1,AB191&lt;=5),"Moderado",IF(OR(AB191=6,AB191&lt;=11),"Mayor","Catastrófico"))</f>
        <v>Moderado</v>
      </c>
      <c r="AE191" s="720"/>
      <c r="AF191" s="715"/>
      <c r="AG191" s="52" t="s">
        <v>467</v>
      </c>
      <c r="AH191" s="145"/>
      <c r="AI191" s="145"/>
      <c r="AJ191" s="145"/>
      <c r="AK191" s="28" t="str">
        <f t="shared" si="30"/>
        <v/>
      </c>
      <c r="AL191" s="145"/>
      <c r="AM191" s="28" t="str">
        <f t="shared" si="31"/>
        <v/>
      </c>
      <c r="AN191" s="140"/>
      <c r="AO191" s="28" t="str">
        <f t="shared" si="32"/>
        <v/>
      </c>
      <c r="AP191" s="140"/>
      <c r="AQ191" s="28" t="str">
        <f t="shared" si="33"/>
        <v/>
      </c>
      <c r="AR191" s="140"/>
      <c r="AS191" s="28" t="str">
        <f t="shared" si="34"/>
        <v/>
      </c>
      <c r="AT191" s="140"/>
      <c r="AU191" s="28" t="str">
        <f t="shared" si="35"/>
        <v/>
      </c>
      <c r="AV191" s="140"/>
      <c r="AW191" s="28" t="str">
        <f t="shared" si="36"/>
        <v/>
      </c>
      <c r="AX191" s="111" t="str">
        <f t="shared" si="37"/>
        <v/>
      </c>
      <c r="AY191" s="111" t="str">
        <f t="shared" si="38"/>
        <v/>
      </c>
      <c r="AZ191" s="141"/>
      <c r="BA191" s="153" t="str">
        <f t="shared" si="39"/>
        <v>Débil</v>
      </c>
      <c r="BB191" s="22" t="str">
        <f>IFERROR(VLOOKUP((CONCATENATE(AY191,BA191)),Listados!$U$3:$V$11,2,FALSE),"")</f>
        <v/>
      </c>
      <c r="BC191" s="111">
        <f t="shared" si="40"/>
        <v>100</v>
      </c>
      <c r="BD191" s="717"/>
      <c r="BE191" s="761"/>
      <c r="BF191" s="717"/>
      <c r="BG191" s="717"/>
      <c r="BH191" s="713"/>
      <c r="BI191" s="715"/>
      <c r="BJ191" s="713"/>
      <c r="BK191" s="713"/>
      <c r="BL191" s="799"/>
      <c r="BM191" s="800"/>
      <c r="BN191" s="801"/>
      <c r="BO191" s="799"/>
      <c r="BP191" s="800"/>
      <c r="BQ191" s="801"/>
      <c r="BR191" s="799"/>
      <c r="BS191" s="800"/>
      <c r="BT191" s="801"/>
    </row>
    <row r="192" spans="1:72" ht="15" thickBot="1">
      <c r="A192" s="725"/>
      <c r="B192" s="777"/>
      <c r="C192" s="731"/>
      <c r="D192" s="781"/>
      <c r="E192" s="757"/>
      <c r="F192" s="771"/>
      <c r="G192" s="736"/>
      <c r="H192" s="764"/>
      <c r="I192" s="764"/>
      <c r="J192" s="764"/>
      <c r="K192" s="764"/>
      <c r="L192" s="764"/>
      <c r="M192" s="764"/>
      <c r="N192" s="764"/>
      <c r="O192" s="764"/>
      <c r="P192" s="764"/>
      <c r="Q192" s="764"/>
      <c r="R192" s="764"/>
      <c r="S192" s="764"/>
      <c r="T192" s="764"/>
      <c r="U192" s="764"/>
      <c r="V192" s="764"/>
      <c r="W192" s="764"/>
      <c r="X192" s="764"/>
      <c r="Y192" s="764"/>
      <c r="Z192" s="727"/>
      <c r="AA192" s="722"/>
      <c r="AB192" s="727"/>
      <c r="AC192" s="721"/>
      <c r="AD192" s="722" t="str">
        <f>+IF(OR(AB192=1,AB192&lt;=5),"Moderado",IF(OR(AB192=6,AB192&lt;=11),"Mayor","Catastrófico"))</f>
        <v>Moderado</v>
      </c>
      <c r="AE192" s="721"/>
      <c r="AF192" s="715"/>
      <c r="AG192" s="52" t="s">
        <v>467</v>
      </c>
      <c r="AH192" s="145"/>
      <c r="AI192" s="145"/>
      <c r="AJ192" s="145"/>
      <c r="AK192" s="28" t="str">
        <f t="shared" si="30"/>
        <v/>
      </c>
      <c r="AL192" s="145"/>
      <c r="AM192" s="28" t="str">
        <f t="shared" si="31"/>
        <v/>
      </c>
      <c r="AN192" s="140"/>
      <c r="AO192" s="28" t="str">
        <f t="shared" si="32"/>
        <v/>
      </c>
      <c r="AP192" s="140"/>
      <c r="AQ192" s="28" t="str">
        <f t="shared" si="33"/>
        <v/>
      </c>
      <c r="AR192" s="140"/>
      <c r="AS192" s="28" t="str">
        <f t="shared" si="34"/>
        <v/>
      </c>
      <c r="AT192" s="140"/>
      <c r="AU192" s="28" t="str">
        <f t="shared" si="35"/>
        <v/>
      </c>
      <c r="AV192" s="140"/>
      <c r="AW192" s="28" t="str">
        <f t="shared" si="36"/>
        <v/>
      </c>
      <c r="AX192" s="111" t="str">
        <f t="shared" si="37"/>
        <v/>
      </c>
      <c r="AY192" s="111" t="str">
        <f t="shared" si="38"/>
        <v/>
      </c>
      <c r="AZ192" s="141"/>
      <c r="BA192" s="153" t="str">
        <f t="shared" si="39"/>
        <v>Débil</v>
      </c>
      <c r="BB192" s="22" t="str">
        <f>IFERROR(VLOOKUP((CONCATENATE(AY192,BA192)),Listados!$U$3:$V$11,2,FALSE),"")</f>
        <v/>
      </c>
      <c r="BC192" s="111">
        <f t="shared" si="40"/>
        <v>100</v>
      </c>
      <c r="BD192" s="718"/>
      <c r="BE192" s="761"/>
      <c r="BF192" s="718"/>
      <c r="BG192" s="718"/>
      <c r="BH192" s="714"/>
      <c r="BI192" s="715"/>
      <c r="BJ192" s="714"/>
      <c r="BK192" s="714"/>
      <c r="BL192" s="799"/>
      <c r="BM192" s="800"/>
      <c r="BN192" s="801"/>
      <c r="BO192" s="799"/>
      <c r="BP192" s="800"/>
      <c r="BQ192" s="801"/>
      <c r="BR192" s="799"/>
      <c r="BS192" s="800"/>
      <c r="BT192" s="801"/>
    </row>
    <row r="193" spans="1:72" ht="15" thickBot="1">
      <c r="A193" s="723">
        <v>32</v>
      </c>
      <c r="B193" s="776"/>
      <c r="C193" s="729" t="str">
        <f>IFERROR(VLOOKUP(B193,Listados!B$3:C$20,2,FALSE),"")</f>
        <v/>
      </c>
      <c r="D193" s="735" t="s">
        <v>584</v>
      </c>
      <c r="E193" s="105"/>
      <c r="F193" s="18"/>
      <c r="G193" s="735"/>
      <c r="H193" s="763"/>
      <c r="I193" s="763"/>
      <c r="J193" s="763"/>
      <c r="K193" s="763"/>
      <c r="L193" s="763"/>
      <c r="M193" s="763"/>
      <c r="N193" s="763"/>
      <c r="O193" s="763"/>
      <c r="P193" s="763"/>
      <c r="Q193" s="763"/>
      <c r="R193" s="763"/>
      <c r="S193" s="763"/>
      <c r="T193" s="763"/>
      <c r="U193" s="763"/>
      <c r="V193" s="763"/>
      <c r="W193" s="763"/>
      <c r="X193" s="763"/>
      <c r="Y193" s="763"/>
      <c r="Z193" s="762"/>
      <c r="AA193" s="721">
        <f>COUNTIF(H193:Z198, "SI")</f>
        <v>0</v>
      </c>
      <c r="AB193" s="762"/>
      <c r="AC193" s="719" t="e">
        <f>+VLOOKUP(AB193,Listados!$K$8:$L$12,2,0)</f>
        <v>#N/A</v>
      </c>
      <c r="AD193" s="721" t="str">
        <f>+IF(OR(AA193=1,AA193&lt;=5),"Moderado",IF(OR(AA193=6,AA193&lt;=11),"Mayor","Catastrófico"))</f>
        <v>Moderado</v>
      </c>
      <c r="AE193" s="719" t="e">
        <f>+VLOOKUP(AD193,Listados!K199:L203,2,0)</f>
        <v>#N/A</v>
      </c>
      <c r="AF193" s="714" t="str">
        <f>IF(AND(AB193&lt;&gt;"",AD193&lt;&gt;""),VLOOKUP(AB193&amp;AD193,Listados!$M$3:$N$27,2,FALSE),"")</f>
        <v/>
      </c>
      <c r="AG193" s="52" t="s">
        <v>467</v>
      </c>
      <c r="AH193" s="145"/>
      <c r="AI193" s="145"/>
      <c r="AJ193" s="145"/>
      <c r="AK193" s="28" t="str">
        <f t="shared" si="30"/>
        <v/>
      </c>
      <c r="AL193" s="145"/>
      <c r="AM193" s="28" t="str">
        <f t="shared" si="31"/>
        <v/>
      </c>
      <c r="AN193" s="140"/>
      <c r="AO193" s="28" t="str">
        <f t="shared" si="32"/>
        <v/>
      </c>
      <c r="AP193" s="140"/>
      <c r="AQ193" s="28" t="str">
        <f t="shared" si="33"/>
        <v/>
      </c>
      <c r="AR193" s="140"/>
      <c r="AS193" s="28" t="str">
        <f t="shared" si="34"/>
        <v/>
      </c>
      <c r="AT193" s="140"/>
      <c r="AU193" s="28" t="str">
        <f t="shared" si="35"/>
        <v/>
      </c>
      <c r="AV193" s="140"/>
      <c r="AW193" s="28" t="str">
        <f t="shared" si="36"/>
        <v/>
      </c>
      <c r="AX193" s="111" t="str">
        <f t="shared" si="37"/>
        <v/>
      </c>
      <c r="AY193" s="111" t="str">
        <f t="shared" si="38"/>
        <v/>
      </c>
      <c r="AZ193" s="141"/>
      <c r="BA193" s="153" t="str">
        <f t="shared" si="39"/>
        <v>Débil</v>
      </c>
      <c r="BB193" s="22" t="str">
        <f>IFERROR(VLOOKUP((CONCATENATE(AY193,BA193)),Listados!$U$3:$V$11,2,FALSE),"")</f>
        <v/>
      </c>
      <c r="BC193" s="111">
        <f t="shared" si="40"/>
        <v>100</v>
      </c>
      <c r="BD193" s="716">
        <f>AVERAGE(BC193:BC198)</f>
        <v>100</v>
      </c>
      <c r="BE193" s="718" t="str">
        <f>IF(BD193&lt;=50, "Débil", IF(BD193&lt;=99,"Moderado","Fuerte"))</f>
        <v>Fuerte</v>
      </c>
      <c r="BF193" s="716">
        <f>+IF(BE193="Fuerte",2,IF(BE193="Moderado",1,0))</f>
        <v>2</v>
      </c>
      <c r="BG193" s="716" t="e">
        <f>+AC193-BF193</f>
        <v>#N/A</v>
      </c>
      <c r="BH193" s="712" t="e">
        <f>+VLOOKUP(BG193,Listados!$J$18:$K$24,2,TRUE)</f>
        <v>#N/A</v>
      </c>
      <c r="BI193" s="714" t="str">
        <f>IF(ISBLANK(AD193),"",AD193)</f>
        <v>Moderado</v>
      </c>
      <c r="BJ193" s="712" t="e">
        <f>IF(AND(BH193&lt;&gt;"",BI193&lt;&gt;""),VLOOKUP(BH193&amp;BI193,Listados!$M$3:$N$27,2,FALSE),"")</f>
        <v>#N/A</v>
      </c>
      <c r="BK193" s="712" t="e">
        <f>+VLOOKUP(BJ193,Listados!$P$3:$Q$6,2,FALSE)</f>
        <v>#N/A</v>
      </c>
      <c r="BL193" s="799"/>
      <c r="BM193" s="800"/>
      <c r="BN193" s="801"/>
      <c r="BO193" s="799"/>
      <c r="BP193" s="800"/>
      <c r="BQ193" s="801"/>
      <c r="BR193" s="799"/>
      <c r="BS193" s="800"/>
      <c r="BT193" s="801"/>
    </row>
    <row r="194" spans="1:72" ht="15" thickBot="1">
      <c r="A194" s="724"/>
      <c r="B194" s="777"/>
      <c r="C194" s="730"/>
      <c r="D194" s="736"/>
      <c r="E194" s="161"/>
      <c r="F194" s="150"/>
      <c r="G194" s="736"/>
      <c r="H194" s="764"/>
      <c r="I194" s="764"/>
      <c r="J194" s="764"/>
      <c r="K194" s="764"/>
      <c r="L194" s="764"/>
      <c r="M194" s="764"/>
      <c r="N194" s="764"/>
      <c r="O194" s="764"/>
      <c r="P194" s="764"/>
      <c r="Q194" s="764"/>
      <c r="R194" s="764"/>
      <c r="S194" s="764"/>
      <c r="T194" s="764"/>
      <c r="U194" s="764"/>
      <c r="V194" s="764"/>
      <c r="W194" s="764"/>
      <c r="X194" s="764"/>
      <c r="Y194" s="764"/>
      <c r="Z194" s="727"/>
      <c r="AA194" s="722"/>
      <c r="AB194" s="727"/>
      <c r="AC194" s="720"/>
      <c r="AD194" s="722" t="str">
        <f>+IF(OR(AB194=1,AB194&lt;=5),"Moderado",IF(OR(AB194=6,AB194&lt;=11),"Mayor","Catastrófico"))</f>
        <v>Moderado</v>
      </c>
      <c r="AE194" s="720"/>
      <c r="AF194" s="715"/>
      <c r="AG194" s="52" t="s">
        <v>467</v>
      </c>
      <c r="AH194" s="145"/>
      <c r="AI194" s="145"/>
      <c r="AJ194" s="145"/>
      <c r="AK194" s="28" t="str">
        <f t="shared" si="30"/>
        <v/>
      </c>
      <c r="AL194" s="145"/>
      <c r="AM194" s="28" t="str">
        <f t="shared" si="31"/>
        <v/>
      </c>
      <c r="AN194" s="140"/>
      <c r="AO194" s="28" t="str">
        <f t="shared" si="32"/>
        <v/>
      </c>
      <c r="AP194" s="140"/>
      <c r="AQ194" s="28" t="str">
        <f t="shared" si="33"/>
        <v/>
      </c>
      <c r="AR194" s="140"/>
      <c r="AS194" s="28" t="str">
        <f t="shared" si="34"/>
        <v/>
      </c>
      <c r="AT194" s="140"/>
      <c r="AU194" s="28" t="str">
        <f t="shared" si="35"/>
        <v/>
      </c>
      <c r="AV194" s="140"/>
      <c r="AW194" s="28" t="str">
        <f t="shared" si="36"/>
        <v/>
      </c>
      <c r="AX194" s="111" t="str">
        <f t="shared" si="37"/>
        <v/>
      </c>
      <c r="AY194" s="111" t="str">
        <f t="shared" si="38"/>
        <v/>
      </c>
      <c r="AZ194" s="141"/>
      <c r="BA194" s="153" t="str">
        <f t="shared" si="39"/>
        <v>Débil</v>
      </c>
      <c r="BB194" s="22" t="str">
        <f>IFERROR(VLOOKUP((CONCATENATE(AY194,BA194)),Listados!$U$3:$V$11,2,FALSE),"")</f>
        <v/>
      </c>
      <c r="BC194" s="111">
        <f t="shared" si="40"/>
        <v>100</v>
      </c>
      <c r="BD194" s="717"/>
      <c r="BE194" s="761"/>
      <c r="BF194" s="717"/>
      <c r="BG194" s="717"/>
      <c r="BH194" s="713"/>
      <c r="BI194" s="715"/>
      <c r="BJ194" s="713"/>
      <c r="BK194" s="713"/>
      <c r="BL194" s="799"/>
      <c r="BM194" s="800"/>
      <c r="BN194" s="801"/>
      <c r="BO194" s="799"/>
      <c r="BP194" s="800"/>
      <c r="BQ194" s="801"/>
      <c r="BR194" s="799"/>
      <c r="BS194" s="800"/>
      <c r="BT194" s="801"/>
    </row>
    <row r="195" spans="1:72" ht="15" thickBot="1">
      <c r="A195" s="724"/>
      <c r="B195" s="777"/>
      <c r="C195" s="730"/>
      <c r="D195" s="736"/>
      <c r="E195" s="161"/>
      <c r="F195" s="150"/>
      <c r="G195" s="736"/>
      <c r="H195" s="764"/>
      <c r="I195" s="764"/>
      <c r="J195" s="764"/>
      <c r="K195" s="764"/>
      <c r="L195" s="764"/>
      <c r="M195" s="764"/>
      <c r="N195" s="764"/>
      <c r="O195" s="764"/>
      <c r="P195" s="764"/>
      <c r="Q195" s="764"/>
      <c r="R195" s="764"/>
      <c r="S195" s="764"/>
      <c r="T195" s="764"/>
      <c r="U195" s="764"/>
      <c r="V195" s="764"/>
      <c r="W195" s="764"/>
      <c r="X195" s="764"/>
      <c r="Y195" s="764"/>
      <c r="Z195" s="727"/>
      <c r="AA195" s="722"/>
      <c r="AB195" s="727"/>
      <c r="AC195" s="720"/>
      <c r="AD195" s="722" t="str">
        <f>+IF(OR(AB195=1,AB195&lt;=5),"Moderado",IF(OR(AB195=6,AB195&lt;=11),"Mayor","Catastrófico"))</f>
        <v>Moderado</v>
      </c>
      <c r="AE195" s="720"/>
      <c r="AF195" s="715"/>
      <c r="AG195" s="52" t="s">
        <v>467</v>
      </c>
      <c r="AH195" s="145"/>
      <c r="AI195" s="145"/>
      <c r="AJ195" s="145"/>
      <c r="AK195" s="28" t="str">
        <f t="shared" si="30"/>
        <v/>
      </c>
      <c r="AL195" s="145"/>
      <c r="AM195" s="28" t="str">
        <f t="shared" si="31"/>
        <v/>
      </c>
      <c r="AN195" s="140"/>
      <c r="AO195" s="28" t="str">
        <f t="shared" si="32"/>
        <v/>
      </c>
      <c r="AP195" s="140"/>
      <c r="AQ195" s="28" t="str">
        <f t="shared" si="33"/>
        <v/>
      </c>
      <c r="AR195" s="140"/>
      <c r="AS195" s="28" t="str">
        <f t="shared" si="34"/>
        <v/>
      </c>
      <c r="AT195" s="140"/>
      <c r="AU195" s="28" t="str">
        <f t="shared" si="35"/>
        <v/>
      </c>
      <c r="AV195" s="140"/>
      <c r="AW195" s="28" t="str">
        <f t="shared" si="36"/>
        <v/>
      </c>
      <c r="AX195" s="111" t="str">
        <f t="shared" si="37"/>
        <v/>
      </c>
      <c r="AY195" s="111" t="str">
        <f t="shared" si="38"/>
        <v/>
      </c>
      <c r="AZ195" s="141"/>
      <c r="BA195" s="153" t="str">
        <f t="shared" si="39"/>
        <v>Débil</v>
      </c>
      <c r="BB195" s="22" t="str">
        <f>IFERROR(VLOOKUP((CONCATENATE(AY195,BA195)),Listados!$U$3:$V$11,2,FALSE),"")</f>
        <v/>
      </c>
      <c r="BC195" s="111">
        <f t="shared" si="40"/>
        <v>100</v>
      </c>
      <c r="BD195" s="717"/>
      <c r="BE195" s="761"/>
      <c r="BF195" s="717"/>
      <c r="BG195" s="717"/>
      <c r="BH195" s="713"/>
      <c r="BI195" s="715"/>
      <c r="BJ195" s="713"/>
      <c r="BK195" s="713"/>
      <c r="BL195" s="799"/>
      <c r="BM195" s="800"/>
      <c r="BN195" s="801"/>
      <c r="BO195" s="799"/>
      <c r="BP195" s="800"/>
      <c r="BQ195" s="801"/>
      <c r="BR195" s="799"/>
      <c r="BS195" s="800"/>
      <c r="BT195" s="801"/>
    </row>
    <row r="196" spans="1:72" ht="15" thickBot="1">
      <c r="A196" s="724"/>
      <c r="B196" s="777"/>
      <c r="C196" s="730"/>
      <c r="D196" s="736"/>
      <c r="E196" s="755"/>
      <c r="F196" s="769"/>
      <c r="G196" s="736"/>
      <c r="H196" s="764"/>
      <c r="I196" s="764"/>
      <c r="J196" s="764"/>
      <c r="K196" s="764"/>
      <c r="L196" s="764"/>
      <c r="M196" s="764"/>
      <c r="N196" s="764"/>
      <c r="O196" s="764"/>
      <c r="P196" s="764"/>
      <c r="Q196" s="764"/>
      <c r="R196" s="764"/>
      <c r="S196" s="764"/>
      <c r="T196" s="764"/>
      <c r="U196" s="764"/>
      <c r="V196" s="764"/>
      <c r="W196" s="764"/>
      <c r="X196" s="764"/>
      <c r="Y196" s="764"/>
      <c r="Z196" s="727"/>
      <c r="AA196" s="722"/>
      <c r="AB196" s="727"/>
      <c r="AC196" s="720"/>
      <c r="AD196" s="722" t="str">
        <f>+IF(OR(AB196=1,AB196&lt;=5),"Moderado",IF(OR(AB196=6,AB196&lt;=11),"Mayor","Catastrófico"))</f>
        <v>Moderado</v>
      </c>
      <c r="AE196" s="720"/>
      <c r="AF196" s="715"/>
      <c r="AG196" s="52" t="s">
        <v>467</v>
      </c>
      <c r="AH196" s="145"/>
      <c r="AI196" s="145"/>
      <c r="AJ196" s="145"/>
      <c r="AK196" s="28" t="str">
        <f t="shared" si="30"/>
        <v/>
      </c>
      <c r="AL196" s="145"/>
      <c r="AM196" s="28" t="str">
        <f t="shared" si="31"/>
        <v/>
      </c>
      <c r="AN196" s="140"/>
      <c r="AO196" s="28" t="str">
        <f t="shared" si="32"/>
        <v/>
      </c>
      <c r="AP196" s="140"/>
      <c r="AQ196" s="28" t="str">
        <f t="shared" si="33"/>
        <v/>
      </c>
      <c r="AR196" s="140"/>
      <c r="AS196" s="28" t="str">
        <f t="shared" si="34"/>
        <v/>
      </c>
      <c r="AT196" s="140"/>
      <c r="AU196" s="28" t="str">
        <f t="shared" si="35"/>
        <v/>
      </c>
      <c r="AV196" s="140"/>
      <c r="AW196" s="28" t="str">
        <f t="shared" si="36"/>
        <v/>
      </c>
      <c r="AX196" s="111" t="str">
        <f t="shared" si="37"/>
        <v/>
      </c>
      <c r="AY196" s="111" t="str">
        <f t="shared" si="38"/>
        <v/>
      </c>
      <c r="AZ196" s="141"/>
      <c r="BA196" s="153" t="str">
        <f t="shared" si="39"/>
        <v>Débil</v>
      </c>
      <c r="BB196" s="22" t="str">
        <f>IFERROR(VLOOKUP((CONCATENATE(AY196,BA196)),Listados!$U$3:$V$11,2,FALSE),"")</f>
        <v/>
      </c>
      <c r="BC196" s="111">
        <f t="shared" si="40"/>
        <v>100</v>
      </c>
      <c r="BD196" s="717"/>
      <c r="BE196" s="761"/>
      <c r="BF196" s="717"/>
      <c r="BG196" s="717"/>
      <c r="BH196" s="713"/>
      <c r="BI196" s="715"/>
      <c r="BJ196" s="713"/>
      <c r="BK196" s="713"/>
      <c r="BL196" s="799"/>
      <c r="BM196" s="800"/>
      <c r="BN196" s="801"/>
      <c r="BO196" s="799"/>
      <c r="BP196" s="800"/>
      <c r="BQ196" s="801"/>
      <c r="BR196" s="799"/>
      <c r="BS196" s="800"/>
      <c r="BT196" s="801"/>
    </row>
    <row r="197" spans="1:72" ht="15" thickBot="1">
      <c r="A197" s="724"/>
      <c r="B197" s="777"/>
      <c r="C197" s="730"/>
      <c r="D197" s="736"/>
      <c r="E197" s="756"/>
      <c r="F197" s="770"/>
      <c r="G197" s="736"/>
      <c r="H197" s="764"/>
      <c r="I197" s="764"/>
      <c r="J197" s="764"/>
      <c r="K197" s="764"/>
      <c r="L197" s="764"/>
      <c r="M197" s="764"/>
      <c r="N197" s="764"/>
      <c r="O197" s="764"/>
      <c r="P197" s="764"/>
      <c r="Q197" s="764"/>
      <c r="R197" s="764"/>
      <c r="S197" s="764"/>
      <c r="T197" s="764"/>
      <c r="U197" s="764"/>
      <c r="V197" s="764"/>
      <c r="W197" s="764"/>
      <c r="X197" s="764"/>
      <c r="Y197" s="764"/>
      <c r="Z197" s="727"/>
      <c r="AA197" s="722"/>
      <c r="AB197" s="727"/>
      <c r="AC197" s="720"/>
      <c r="AD197" s="722" t="str">
        <f>+IF(OR(AB197=1,AB197&lt;=5),"Moderado",IF(OR(AB197=6,AB197&lt;=11),"Mayor","Catastrófico"))</f>
        <v>Moderado</v>
      </c>
      <c r="AE197" s="720"/>
      <c r="AF197" s="715"/>
      <c r="AG197" s="52" t="s">
        <v>467</v>
      </c>
      <c r="AH197" s="145"/>
      <c r="AI197" s="145"/>
      <c r="AJ197" s="145"/>
      <c r="AK197" s="28" t="str">
        <f t="shared" si="30"/>
        <v/>
      </c>
      <c r="AL197" s="145"/>
      <c r="AM197" s="28" t="str">
        <f t="shared" si="31"/>
        <v/>
      </c>
      <c r="AN197" s="140"/>
      <c r="AO197" s="28" t="str">
        <f t="shared" si="32"/>
        <v/>
      </c>
      <c r="AP197" s="140"/>
      <c r="AQ197" s="28" t="str">
        <f t="shared" si="33"/>
        <v/>
      </c>
      <c r="AR197" s="140"/>
      <c r="AS197" s="28" t="str">
        <f t="shared" si="34"/>
        <v/>
      </c>
      <c r="AT197" s="140"/>
      <c r="AU197" s="28" t="str">
        <f t="shared" si="35"/>
        <v/>
      </c>
      <c r="AV197" s="140"/>
      <c r="AW197" s="28" t="str">
        <f t="shared" si="36"/>
        <v/>
      </c>
      <c r="AX197" s="111" t="str">
        <f t="shared" si="37"/>
        <v/>
      </c>
      <c r="AY197" s="111" t="str">
        <f t="shared" si="38"/>
        <v/>
      </c>
      <c r="AZ197" s="141"/>
      <c r="BA197" s="153" t="str">
        <f t="shared" si="39"/>
        <v>Débil</v>
      </c>
      <c r="BB197" s="22" t="str">
        <f>IFERROR(VLOOKUP((CONCATENATE(AY197,BA197)),Listados!$U$3:$V$11,2,FALSE),"")</f>
        <v/>
      </c>
      <c r="BC197" s="111">
        <f t="shared" si="40"/>
        <v>100</v>
      </c>
      <c r="BD197" s="717"/>
      <c r="BE197" s="761"/>
      <c r="BF197" s="717"/>
      <c r="BG197" s="717"/>
      <c r="BH197" s="713"/>
      <c r="BI197" s="715"/>
      <c r="BJ197" s="713"/>
      <c r="BK197" s="713"/>
      <c r="BL197" s="799"/>
      <c r="BM197" s="800"/>
      <c r="BN197" s="801"/>
      <c r="BO197" s="799"/>
      <c r="BP197" s="800"/>
      <c r="BQ197" s="801"/>
      <c r="BR197" s="799"/>
      <c r="BS197" s="800"/>
      <c r="BT197" s="801"/>
    </row>
    <row r="198" spans="1:72" ht="15" thickBot="1">
      <c r="A198" s="725"/>
      <c r="B198" s="777"/>
      <c r="C198" s="731"/>
      <c r="D198" s="781"/>
      <c r="E198" s="757"/>
      <c r="F198" s="771"/>
      <c r="G198" s="736"/>
      <c r="H198" s="764"/>
      <c r="I198" s="764"/>
      <c r="J198" s="764"/>
      <c r="K198" s="764"/>
      <c r="L198" s="764"/>
      <c r="M198" s="764"/>
      <c r="N198" s="764"/>
      <c r="O198" s="764"/>
      <c r="P198" s="764"/>
      <c r="Q198" s="764"/>
      <c r="R198" s="764"/>
      <c r="S198" s="764"/>
      <c r="T198" s="764"/>
      <c r="U198" s="764"/>
      <c r="V198" s="764"/>
      <c r="W198" s="764"/>
      <c r="X198" s="764"/>
      <c r="Y198" s="764"/>
      <c r="Z198" s="727"/>
      <c r="AA198" s="722"/>
      <c r="AB198" s="727"/>
      <c r="AC198" s="721"/>
      <c r="AD198" s="722" t="str">
        <f>+IF(OR(AB198=1,AB198&lt;=5),"Moderado",IF(OR(AB198=6,AB198&lt;=11),"Mayor","Catastrófico"))</f>
        <v>Moderado</v>
      </c>
      <c r="AE198" s="721"/>
      <c r="AF198" s="715"/>
      <c r="AG198" s="52" t="s">
        <v>467</v>
      </c>
      <c r="AH198" s="145"/>
      <c r="AI198" s="145"/>
      <c r="AJ198" s="145"/>
      <c r="AK198" s="28" t="str">
        <f t="shared" si="30"/>
        <v/>
      </c>
      <c r="AL198" s="145"/>
      <c r="AM198" s="28" t="str">
        <f t="shared" si="31"/>
        <v/>
      </c>
      <c r="AN198" s="140"/>
      <c r="AO198" s="28" t="str">
        <f t="shared" si="32"/>
        <v/>
      </c>
      <c r="AP198" s="140"/>
      <c r="AQ198" s="28" t="str">
        <f t="shared" si="33"/>
        <v/>
      </c>
      <c r="AR198" s="140"/>
      <c r="AS198" s="28" t="str">
        <f t="shared" si="34"/>
        <v/>
      </c>
      <c r="AT198" s="140"/>
      <c r="AU198" s="28" t="str">
        <f t="shared" si="35"/>
        <v/>
      </c>
      <c r="AV198" s="140"/>
      <c r="AW198" s="28" t="str">
        <f t="shared" si="36"/>
        <v/>
      </c>
      <c r="AX198" s="111" t="str">
        <f t="shared" si="37"/>
        <v/>
      </c>
      <c r="AY198" s="111" t="str">
        <f t="shared" si="38"/>
        <v/>
      </c>
      <c r="AZ198" s="141"/>
      <c r="BA198" s="153" t="str">
        <f t="shared" si="39"/>
        <v>Débil</v>
      </c>
      <c r="BB198" s="22" t="str">
        <f>IFERROR(VLOOKUP((CONCATENATE(AY198,BA198)),Listados!$U$3:$V$11,2,FALSE),"")</f>
        <v/>
      </c>
      <c r="BC198" s="111">
        <f t="shared" si="40"/>
        <v>100</v>
      </c>
      <c r="BD198" s="718"/>
      <c r="BE198" s="761"/>
      <c r="BF198" s="718"/>
      <c r="BG198" s="718"/>
      <c r="BH198" s="714"/>
      <c r="BI198" s="715"/>
      <c r="BJ198" s="714"/>
      <c r="BK198" s="714"/>
      <c r="BL198" s="799"/>
      <c r="BM198" s="800"/>
      <c r="BN198" s="801"/>
      <c r="BO198" s="799"/>
      <c r="BP198" s="800"/>
      <c r="BQ198" s="801"/>
      <c r="BR198" s="799"/>
      <c r="BS198" s="800"/>
      <c r="BT198" s="801"/>
    </row>
    <row r="199" spans="1:72" ht="15" thickBot="1">
      <c r="A199" s="723">
        <v>33</v>
      </c>
      <c r="B199" s="776"/>
      <c r="C199" s="729" t="str">
        <f>IFERROR(VLOOKUP(B199,Listados!B$3:C$20,2,FALSE),"")</f>
        <v/>
      </c>
      <c r="D199" s="735" t="s">
        <v>584</v>
      </c>
      <c r="E199" s="105"/>
      <c r="F199" s="18"/>
      <c r="G199" s="735"/>
      <c r="H199" s="763"/>
      <c r="I199" s="763"/>
      <c r="J199" s="763"/>
      <c r="K199" s="763"/>
      <c r="L199" s="763"/>
      <c r="M199" s="763"/>
      <c r="N199" s="763"/>
      <c r="O199" s="763"/>
      <c r="P199" s="763"/>
      <c r="Q199" s="763"/>
      <c r="R199" s="763"/>
      <c r="S199" s="763"/>
      <c r="T199" s="763"/>
      <c r="U199" s="763"/>
      <c r="V199" s="763"/>
      <c r="W199" s="763"/>
      <c r="X199" s="763"/>
      <c r="Y199" s="763"/>
      <c r="Z199" s="762"/>
      <c r="AA199" s="721">
        <f>COUNTIF(H199:Z204, "SI")</f>
        <v>0</v>
      </c>
      <c r="AB199" s="762"/>
      <c r="AC199" s="719" t="e">
        <f>+VLOOKUP(AB199,Listados!$K$8:$L$12,2,0)</f>
        <v>#N/A</v>
      </c>
      <c r="AD199" s="721" t="str">
        <f>+IF(OR(AA199=1,AA199&lt;=5),"Moderado",IF(OR(AA199=6,AA199&lt;=11),"Mayor","Catastrófico"))</f>
        <v>Moderado</v>
      </c>
      <c r="AE199" s="719" t="e">
        <f>+VLOOKUP(AD199,Listados!K205:L209,2,0)</f>
        <v>#N/A</v>
      </c>
      <c r="AF199" s="714" t="str">
        <f>IF(AND(AB199&lt;&gt;"",AD199&lt;&gt;""),VLOOKUP(AB199&amp;AD199,Listados!$M$3:$N$27,2,FALSE),"")</f>
        <v/>
      </c>
      <c r="AG199" s="52" t="s">
        <v>467</v>
      </c>
      <c r="AH199" s="145"/>
      <c r="AI199" s="145"/>
      <c r="AJ199" s="145"/>
      <c r="AK199" s="28" t="str">
        <f t="shared" si="30"/>
        <v/>
      </c>
      <c r="AL199" s="145"/>
      <c r="AM199" s="28" t="str">
        <f t="shared" si="31"/>
        <v/>
      </c>
      <c r="AN199" s="140"/>
      <c r="AO199" s="28" t="str">
        <f t="shared" si="32"/>
        <v/>
      </c>
      <c r="AP199" s="140"/>
      <c r="AQ199" s="28" t="str">
        <f t="shared" si="33"/>
        <v/>
      </c>
      <c r="AR199" s="140"/>
      <c r="AS199" s="28" t="str">
        <f t="shared" si="34"/>
        <v/>
      </c>
      <c r="AT199" s="140"/>
      <c r="AU199" s="28" t="str">
        <f t="shared" si="35"/>
        <v/>
      </c>
      <c r="AV199" s="140"/>
      <c r="AW199" s="28" t="str">
        <f t="shared" si="36"/>
        <v/>
      </c>
      <c r="AX199" s="111" t="str">
        <f t="shared" si="37"/>
        <v/>
      </c>
      <c r="AY199" s="111" t="str">
        <f t="shared" si="38"/>
        <v/>
      </c>
      <c r="AZ199" s="141"/>
      <c r="BA199" s="153" t="str">
        <f t="shared" si="39"/>
        <v>Débil</v>
      </c>
      <c r="BB199" s="22" t="str">
        <f>IFERROR(VLOOKUP((CONCATENATE(AY199,BA199)),Listados!$U$3:$V$11,2,FALSE),"")</f>
        <v/>
      </c>
      <c r="BC199" s="111">
        <f t="shared" si="40"/>
        <v>100</v>
      </c>
      <c r="BD199" s="716">
        <f>AVERAGE(BC199:BC204)</f>
        <v>100</v>
      </c>
      <c r="BE199" s="718" t="str">
        <f>IF(BD199&lt;=50, "Débil", IF(BD199&lt;=99,"Moderado","Fuerte"))</f>
        <v>Fuerte</v>
      </c>
      <c r="BF199" s="716">
        <f>+IF(BE199="Fuerte",2,IF(BE199="Moderado",1,0))</f>
        <v>2</v>
      </c>
      <c r="BG199" s="716" t="e">
        <f>+AC199-BF199</f>
        <v>#N/A</v>
      </c>
      <c r="BH199" s="712" t="e">
        <f>+VLOOKUP(BG199,Listados!$J$18:$K$24,2,TRUE)</f>
        <v>#N/A</v>
      </c>
      <c r="BI199" s="714" t="str">
        <f>IF(ISBLANK(AD199),"",AD199)</f>
        <v>Moderado</v>
      </c>
      <c r="BJ199" s="712" t="e">
        <f>IF(AND(BH199&lt;&gt;"",BI199&lt;&gt;""),VLOOKUP(BH199&amp;BI199,Listados!$M$3:$N$27,2,FALSE),"")</f>
        <v>#N/A</v>
      </c>
      <c r="BK199" s="712" t="e">
        <f>+VLOOKUP(BJ199,Listados!$P$3:$Q$6,2,FALSE)</f>
        <v>#N/A</v>
      </c>
      <c r="BL199" s="799"/>
      <c r="BM199" s="800"/>
      <c r="BN199" s="801"/>
      <c r="BO199" s="799"/>
      <c r="BP199" s="800"/>
      <c r="BQ199" s="801"/>
      <c r="BR199" s="799"/>
      <c r="BS199" s="800"/>
      <c r="BT199" s="801"/>
    </row>
    <row r="200" spans="1:72" ht="15" thickBot="1">
      <c r="A200" s="724"/>
      <c r="B200" s="777"/>
      <c r="C200" s="730"/>
      <c r="D200" s="736"/>
      <c r="E200" s="161"/>
      <c r="F200" s="150"/>
      <c r="G200" s="736"/>
      <c r="H200" s="764"/>
      <c r="I200" s="764"/>
      <c r="J200" s="764"/>
      <c r="K200" s="764"/>
      <c r="L200" s="764"/>
      <c r="M200" s="764"/>
      <c r="N200" s="764"/>
      <c r="O200" s="764"/>
      <c r="P200" s="764"/>
      <c r="Q200" s="764"/>
      <c r="R200" s="764"/>
      <c r="S200" s="764"/>
      <c r="T200" s="764"/>
      <c r="U200" s="764"/>
      <c r="V200" s="764"/>
      <c r="W200" s="764"/>
      <c r="X200" s="764"/>
      <c r="Y200" s="764"/>
      <c r="Z200" s="727"/>
      <c r="AA200" s="722"/>
      <c r="AB200" s="727"/>
      <c r="AC200" s="720"/>
      <c r="AD200" s="722" t="str">
        <f>+IF(OR(AB200=1,AB200&lt;=5),"Moderado",IF(OR(AB200=6,AB200&lt;=11),"Mayor","Catastrófico"))</f>
        <v>Moderado</v>
      </c>
      <c r="AE200" s="720"/>
      <c r="AF200" s="715"/>
      <c r="AG200" s="52" t="s">
        <v>467</v>
      </c>
      <c r="AH200" s="145"/>
      <c r="AI200" s="145"/>
      <c r="AJ200" s="145"/>
      <c r="AK200" s="28" t="str">
        <f t="shared" ref="AK200:AK263" si="41">+IF(AJ200="si",15,"")</f>
        <v/>
      </c>
      <c r="AL200" s="145"/>
      <c r="AM200" s="28" t="str">
        <f t="shared" ref="AM200:AM263" si="42">+IF(AL200="si",15,"")</f>
        <v/>
      </c>
      <c r="AN200" s="140"/>
      <c r="AO200" s="28" t="str">
        <f t="shared" ref="AO200:AO263" si="43">+IF(AN200="si",15,"")</f>
        <v/>
      </c>
      <c r="AP200" s="140"/>
      <c r="AQ200" s="28" t="str">
        <f t="shared" ref="AQ200:AQ263" si="44">+IF(AP200="Preventivo",15,IF(AP200="Detectivo",10,""))</f>
        <v/>
      </c>
      <c r="AR200" s="140"/>
      <c r="AS200" s="28" t="str">
        <f t="shared" ref="AS200:AS263" si="45">+IF(AR200="si",15,"")</f>
        <v/>
      </c>
      <c r="AT200" s="140"/>
      <c r="AU200" s="28" t="str">
        <f t="shared" ref="AU200:AU263" si="46">+IF(AT200="si",15,"")</f>
        <v/>
      </c>
      <c r="AV200" s="140"/>
      <c r="AW200" s="28" t="str">
        <f t="shared" ref="AW200:AW263" si="47">+IF(AV200="Completa",10,IF(AV200="Incompleta",5,""))</f>
        <v/>
      </c>
      <c r="AX200" s="111" t="str">
        <f t="shared" ref="AX200:AX263" si="48">IF((SUM(AK200,AM200,AO200,AQ200,AS200,AU200,AW200)=0),"",(SUM(AK200,AM200,AO200,AQ200,AS200,AU200,AW200)))</f>
        <v/>
      </c>
      <c r="AY200" s="111" t="str">
        <f t="shared" ref="AY200:AY263" si="49">IF(AX200&lt;=85,"Débil",IF(AX200&lt;=95,"Moderado",IF(AX200=100,"Fuerte","")))</f>
        <v/>
      </c>
      <c r="AZ200" s="141"/>
      <c r="BA200" s="153" t="str">
        <f t="shared" ref="BA200:BA263" si="50">+IF(AZ200="siempre","Fuerte",IF(AZ200="Algunas veces","Moderado","Débil"))</f>
        <v>Débil</v>
      </c>
      <c r="BB200" s="22" t="str">
        <f>IFERROR(VLOOKUP((CONCATENATE(AY200,BA200)),Listados!$U$3:$V$11,2,FALSE),"")</f>
        <v/>
      </c>
      <c r="BC200" s="111">
        <f t="shared" ref="BC200:BC263" si="51">IF(ISBLANK(BB200),"",IF(BB200="Débil", 0, IF(BB200="Moderado",50,100)))</f>
        <v>100</v>
      </c>
      <c r="BD200" s="717"/>
      <c r="BE200" s="761"/>
      <c r="BF200" s="717"/>
      <c r="BG200" s="717"/>
      <c r="BH200" s="713"/>
      <c r="BI200" s="715"/>
      <c r="BJ200" s="713"/>
      <c r="BK200" s="713"/>
      <c r="BL200" s="799"/>
      <c r="BM200" s="800"/>
      <c r="BN200" s="801"/>
      <c r="BO200" s="799"/>
      <c r="BP200" s="800"/>
      <c r="BQ200" s="801"/>
      <c r="BR200" s="799"/>
      <c r="BS200" s="800"/>
      <c r="BT200" s="801"/>
    </row>
    <row r="201" spans="1:72" ht="15" thickBot="1">
      <c r="A201" s="724"/>
      <c r="B201" s="777"/>
      <c r="C201" s="730"/>
      <c r="D201" s="736"/>
      <c r="E201" s="161"/>
      <c r="F201" s="150"/>
      <c r="G201" s="736"/>
      <c r="H201" s="764"/>
      <c r="I201" s="764"/>
      <c r="J201" s="764"/>
      <c r="K201" s="764"/>
      <c r="L201" s="764"/>
      <c r="M201" s="764"/>
      <c r="N201" s="764"/>
      <c r="O201" s="764"/>
      <c r="P201" s="764"/>
      <c r="Q201" s="764"/>
      <c r="R201" s="764"/>
      <c r="S201" s="764"/>
      <c r="T201" s="764"/>
      <c r="U201" s="764"/>
      <c r="V201" s="764"/>
      <c r="W201" s="764"/>
      <c r="X201" s="764"/>
      <c r="Y201" s="764"/>
      <c r="Z201" s="727"/>
      <c r="AA201" s="722"/>
      <c r="AB201" s="727"/>
      <c r="AC201" s="720"/>
      <c r="AD201" s="722" t="str">
        <f>+IF(OR(AB201=1,AB201&lt;=5),"Moderado",IF(OR(AB201=6,AB201&lt;=11),"Mayor","Catastrófico"))</f>
        <v>Moderado</v>
      </c>
      <c r="AE201" s="720"/>
      <c r="AF201" s="715"/>
      <c r="AG201" s="52" t="s">
        <v>467</v>
      </c>
      <c r="AH201" s="145"/>
      <c r="AI201" s="145"/>
      <c r="AJ201" s="145"/>
      <c r="AK201" s="28" t="str">
        <f t="shared" si="41"/>
        <v/>
      </c>
      <c r="AL201" s="145"/>
      <c r="AM201" s="28" t="str">
        <f t="shared" si="42"/>
        <v/>
      </c>
      <c r="AN201" s="140"/>
      <c r="AO201" s="28" t="str">
        <f t="shared" si="43"/>
        <v/>
      </c>
      <c r="AP201" s="140"/>
      <c r="AQ201" s="28" t="str">
        <f t="shared" si="44"/>
        <v/>
      </c>
      <c r="AR201" s="140"/>
      <c r="AS201" s="28" t="str">
        <f t="shared" si="45"/>
        <v/>
      </c>
      <c r="AT201" s="140"/>
      <c r="AU201" s="28" t="str">
        <f t="shared" si="46"/>
        <v/>
      </c>
      <c r="AV201" s="140"/>
      <c r="AW201" s="28" t="str">
        <f t="shared" si="47"/>
        <v/>
      </c>
      <c r="AX201" s="111" t="str">
        <f t="shared" si="48"/>
        <v/>
      </c>
      <c r="AY201" s="111" t="str">
        <f t="shared" si="49"/>
        <v/>
      </c>
      <c r="AZ201" s="141"/>
      <c r="BA201" s="153" t="str">
        <f t="shared" si="50"/>
        <v>Débil</v>
      </c>
      <c r="BB201" s="22" t="str">
        <f>IFERROR(VLOOKUP((CONCATENATE(AY201,BA201)),Listados!$U$3:$V$11,2,FALSE),"")</f>
        <v/>
      </c>
      <c r="BC201" s="111">
        <f t="shared" si="51"/>
        <v>100</v>
      </c>
      <c r="BD201" s="717"/>
      <c r="BE201" s="761"/>
      <c r="BF201" s="717"/>
      <c r="BG201" s="717"/>
      <c r="BH201" s="713"/>
      <c r="BI201" s="715"/>
      <c r="BJ201" s="713"/>
      <c r="BK201" s="713"/>
      <c r="BL201" s="799"/>
      <c r="BM201" s="800"/>
      <c r="BN201" s="801"/>
      <c r="BO201" s="799"/>
      <c r="BP201" s="800"/>
      <c r="BQ201" s="801"/>
      <c r="BR201" s="799"/>
      <c r="BS201" s="800"/>
      <c r="BT201" s="801"/>
    </row>
    <row r="202" spans="1:72" ht="15" thickBot="1">
      <c r="A202" s="724"/>
      <c r="B202" s="777"/>
      <c r="C202" s="730"/>
      <c r="D202" s="736"/>
      <c r="E202" s="755"/>
      <c r="F202" s="769"/>
      <c r="G202" s="736"/>
      <c r="H202" s="764"/>
      <c r="I202" s="764"/>
      <c r="J202" s="764"/>
      <c r="K202" s="764"/>
      <c r="L202" s="764"/>
      <c r="M202" s="764"/>
      <c r="N202" s="764"/>
      <c r="O202" s="764"/>
      <c r="P202" s="764"/>
      <c r="Q202" s="764"/>
      <c r="R202" s="764"/>
      <c r="S202" s="764"/>
      <c r="T202" s="764"/>
      <c r="U202" s="764"/>
      <c r="V202" s="764"/>
      <c r="W202" s="764"/>
      <c r="X202" s="764"/>
      <c r="Y202" s="764"/>
      <c r="Z202" s="727"/>
      <c r="AA202" s="722"/>
      <c r="AB202" s="727"/>
      <c r="AC202" s="720"/>
      <c r="AD202" s="722" t="str">
        <f>+IF(OR(AB202=1,AB202&lt;=5),"Moderado",IF(OR(AB202=6,AB202&lt;=11),"Mayor","Catastrófico"))</f>
        <v>Moderado</v>
      </c>
      <c r="AE202" s="720"/>
      <c r="AF202" s="715"/>
      <c r="AG202" s="52" t="s">
        <v>467</v>
      </c>
      <c r="AH202" s="145"/>
      <c r="AI202" s="145"/>
      <c r="AJ202" s="145"/>
      <c r="AK202" s="28" t="str">
        <f t="shared" si="41"/>
        <v/>
      </c>
      <c r="AL202" s="145"/>
      <c r="AM202" s="28" t="str">
        <f t="shared" si="42"/>
        <v/>
      </c>
      <c r="AN202" s="140"/>
      <c r="AO202" s="28" t="str">
        <f t="shared" si="43"/>
        <v/>
      </c>
      <c r="AP202" s="140"/>
      <c r="AQ202" s="28" t="str">
        <f t="shared" si="44"/>
        <v/>
      </c>
      <c r="AR202" s="140"/>
      <c r="AS202" s="28" t="str">
        <f t="shared" si="45"/>
        <v/>
      </c>
      <c r="AT202" s="140"/>
      <c r="AU202" s="28" t="str">
        <f t="shared" si="46"/>
        <v/>
      </c>
      <c r="AV202" s="140"/>
      <c r="AW202" s="28" t="str">
        <f t="shared" si="47"/>
        <v/>
      </c>
      <c r="AX202" s="111" t="str">
        <f t="shared" si="48"/>
        <v/>
      </c>
      <c r="AY202" s="111" t="str">
        <f t="shared" si="49"/>
        <v/>
      </c>
      <c r="AZ202" s="141"/>
      <c r="BA202" s="153" t="str">
        <f t="shared" si="50"/>
        <v>Débil</v>
      </c>
      <c r="BB202" s="22" t="str">
        <f>IFERROR(VLOOKUP((CONCATENATE(AY202,BA202)),Listados!$U$3:$V$11,2,FALSE),"")</f>
        <v/>
      </c>
      <c r="BC202" s="111">
        <f t="shared" si="51"/>
        <v>100</v>
      </c>
      <c r="BD202" s="717"/>
      <c r="BE202" s="761"/>
      <c r="BF202" s="717"/>
      <c r="BG202" s="717"/>
      <c r="BH202" s="713"/>
      <c r="BI202" s="715"/>
      <c r="BJ202" s="713"/>
      <c r="BK202" s="713"/>
      <c r="BL202" s="799"/>
      <c r="BM202" s="800"/>
      <c r="BN202" s="801"/>
      <c r="BO202" s="799"/>
      <c r="BP202" s="800"/>
      <c r="BQ202" s="801"/>
      <c r="BR202" s="799"/>
      <c r="BS202" s="800"/>
      <c r="BT202" s="801"/>
    </row>
    <row r="203" spans="1:72" ht="15" thickBot="1">
      <c r="A203" s="724"/>
      <c r="B203" s="777"/>
      <c r="C203" s="730"/>
      <c r="D203" s="736"/>
      <c r="E203" s="756"/>
      <c r="F203" s="770"/>
      <c r="G203" s="736"/>
      <c r="H203" s="764"/>
      <c r="I203" s="764"/>
      <c r="J203" s="764"/>
      <c r="K203" s="764"/>
      <c r="L203" s="764"/>
      <c r="M203" s="764"/>
      <c r="N203" s="764"/>
      <c r="O203" s="764"/>
      <c r="P203" s="764"/>
      <c r="Q203" s="764"/>
      <c r="R203" s="764"/>
      <c r="S203" s="764"/>
      <c r="T203" s="764"/>
      <c r="U203" s="764"/>
      <c r="V203" s="764"/>
      <c r="W203" s="764"/>
      <c r="X203" s="764"/>
      <c r="Y203" s="764"/>
      <c r="Z203" s="727"/>
      <c r="AA203" s="722"/>
      <c r="AB203" s="727"/>
      <c r="AC203" s="720"/>
      <c r="AD203" s="722" t="str">
        <f>+IF(OR(AB203=1,AB203&lt;=5),"Moderado",IF(OR(AB203=6,AB203&lt;=11),"Mayor","Catastrófico"))</f>
        <v>Moderado</v>
      </c>
      <c r="AE203" s="720"/>
      <c r="AF203" s="715"/>
      <c r="AG203" s="52" t="s">
        <v>467</v>
      </c>
      <c r="AH203" s="145"/>
      <c r="AI203" s="145"/>
      <c r="AJ203" s="145"/>
      <c r="AK203" s="28" t="str">
        <f t="shared" si="41"/>
        <v/>
      </c>
      <c r="AL203" s="145"/>
      <c r="AM203" s="28" t="str">
        <f t="shared" si="42"/>
        <v/>
      </c>
      <c r="AN203" s="140"/>
      <c r="AO203" s="28" t="str">
        <f t="shared" si="43"/>
        <v/>
      </c>
      <c r="AP203" s="140"/>
      <c r="AQ203" s="28" t="str">
        <f t="shared" si="44"/>
        <v/>
      </c>
      <c r="AR203" s="140"/>
      <c r="AS203" s="28" t="str">
        <f t="shared" si="45"/>
        <v/>
      </c>
      <c r="AT203" s="140"/>
      <c r="AU203" s="28" t="str">
        <f t="shared" si="46"/>
        <v/>
      </c>
      <c r="AV203" s="140"/>
      <c r="AW203" s="28" t="str">
        <f t="shared" si="47"/>
        <v/>
      </c>
      <c r="AX203" s="111" t="str">
        <f t="shared" si="48"/>
        <v/>
      </c>
      <c r="AY203" s="111" t="str">
        <f t="shared" si="49"/>
        <v/>
      </c>
      <c r="AZ203" s="141"/>
      <c r="BA203" s="153" t="str">
        <f t="shared" si="50"/>
        <v>Débil</v>
      </c>
      <c r="BB203" s="22" t="str">
        <f>IFERROR(VLOOKUP((CONCATENATE(AY203,BA203)),Listados!$U$3:$V$11,2,FALSE),"")</f>
        <v/>
      </c>
      <c r="BC203" s="111">
        <f t="shared" si="51"/>
        <v>100</v>
      </c>
      <c r="BD203" s="717"/>
      <c r="BE203" s="761"/>
      <c r="BF203" s="717"/>
      <c r="BG203" s="717"/>
      <c r="BH203" s="713"/>
      <c r="BI203" s="715"/>
      <c r="BJ203" s="713"/>
      <c r="BK203" s="713"/>
      <c r="BL203" s="799"/>
      <c r="BM203" s="800"/>
      <c r="BN203" s="801"/>
      <c r="BO203" s="799"/>
      <c r="BP203" s="800"/>
      <c r="BQ203" s="801"/>
      <c r="BR203" s="799"/>
      <c r="BS203" s="800"/>
      <c r="BT203" s="801"/>
    </row>
    <row r="204" spans="1:72" ht="15" thickBot="1">
      <c r="A204" s="725"/>
      <c r="B204" s="777"/>
      <c r="C204" s="731"/>
      <c r="D204" s="781"/>
      <c r="E204" s="757"/>
      <c r="F204" s="771"/>
      <c r="G204" s="736"/>
      <c r="H204" s="764"/>
      <c r="I204" s="764"/>
      <c r="J204" s="764"/>
      <c r="K204" s="764"/>
      <c r="L204" s="764"/>
      <c r="M204" s="764"/>
      <c r="N204" s="764"/>
      <c r="O204" s="764"/>
      <c r="P204" s="764"/>
      <c r="Q204" s="764"/>
      <c r="R204" s="764"/>
      <c r="S204" s="764"/>
      <c r="T204" s="764"/>
      <c r="U204" s="764"/>
      <c r="V204" s="764"/>
      <c r="W204" s="764"/>
      <c r="X204" s="764"/>
      <c r="Y204" s="764"/>
      <c r="Z204" s="727"/>
      <c r="AA204" s="722"/>
      <c r="AB204" s="727"/>
      <c r="AC204" s="721"/>
      <c r="AD204" s="722" t="str">
        <f>+IF(OR(AB204=1,AB204&lt;=5),"Moderado",IF(OR(AB204=6,AB204&lt;=11),"Mayor","Catastrófico"))</f>
        <v>Moderado</v>
      </c>
      <c r="AE204" s="721"/>
      <c r="AF204" s="715"/>
      <c r="AG204" s="52" t="s">
        <v>467</v>
      </c>
      <c r="AH204" s="145"/>
      <c r="AI204" s="145"/>
      <c r="AJ204" s="145"/>
      <c r="AK204" s="28" t="str">
        <f t="shared" si="41"/>
        <v/>
      </c>
      <c r="AL204" s="145"/>
      <c r="AM204" s="28" t="str">
        <f t="shared" si="42"/>
        <v/>
      </c>
      <c r="AN204" s="140"/>
      <c r="AO204" s="28" t="str">
        <f t="shared" si="43"/>
        <v/>
      </c>
      <c r="AP204" s="140"/>
      <c r="AQ204" s="28" t="str">
        <f t="shared" si="44"/>
        <v/>
      </c>
      <c r="AR204" s="140"/>
      <c r="AS204" s="28" t="str">
        <f t="shared" si="45"/>
        <v/>
      </c>
      <c r="AT204" s="140"/>
      <c r="AU204" s="28" t="str">
        <f t="shared" si="46"/>
        <v/>
      </c>
      <c r="AV204" s="140"/>
      <c r="AW204" s="28" t="str">
        <f t="shared" si="47"/>
        <v/>
      </c>
      <c r="AX204" s="111" t="str">
        <f t="shared" si="48"/>
        <v/>
      </c>
      <c r="AY204" s="111" t="str">
        <f t="shared" si="49"/>
        <v/>
      </c>
      <c r="AZ204" s="141"/>
      <c r="BA204" s="153" t="str">
        <f t="shared" si="50"/>
        <v>Débil</v>
      </c>
      <c r="BB204" s="22" t="str">
        <f>IFERROR(VLOOKUP((CONCATENATE(AY204,BA204)),Listados!$U$3:$V$11,2,FALSE),"")</f>
        <v/>
      </c>
      <c r="BC204" s="111">
        <f t="shared" si="51"/>
        <v>100</v>
      </c>
      <c r="BD204" s="718"/>
      <c r="BE204" s="761"/>
      <c r="BF204" s="718"/>
      <c r="BG204" s="718"/>
      <c r="BH204" s="714"/>
      <c r="BI204" s="715"/>
      <c r="BJ204" s="714"/>
      <c r="BK204" s="714"/>
      <c r="BL204" s="799"/>
      <c r="BM204" s="800"/>
      <c r="BN204" s="801"/>
      <c r="BO204" s="799"/>
      <c r="BP204" s="800"/>
      <c r="BQ204" s="801"/>
      <c r="BR204" s="799"/>
      <c r="BS204" s="800"/>
      <c r="BT204" s="801"/>
    </row>
    <row r="205" spans="1:72" ht="15" thickBot="1">
      <c r="A205" s="723">
        <v>34</v>
      </c>
      <c r="B205" s="776"/>
      <c r="C205" s="729" t="str">
        <f>IFERROR(VLOOKUP(B205,Listados!B$3:C$20,2,FALSE),"")</f>
        <v/>
      </c>
      <c r="D205" s="735" t="s">
        <v>584</v>
      </c>
      <c r="E205" s="105"/>
      <c r="F205" s="18"/>
      <c r="G205" s="735"/>
      <c r="H205" s="763"/>
      <c r="I205" s="763"/>
      <c r="J205" s="763"/>
      <c r="K205" s="763"/>
      <c r="L205" s="763"/>
      <c r="M205" s="763"/>
      <c r="N205" s="763"/>
      <c r="O205" s="763"/>
      <c r="P205" s="763"/>
      <c r="Q205" s="763"/>
      <c r="R205" s="763"/>
      <c r="S205" s="763"/>
      <c r="T205" s="763"/>
      <c r="U205" s="763"/>
      <c r="V205" s="763"/>
      <c r="W205" s="763"/>
      <c r="X205" s="763"/>
      <c r="Y205" s="763"/>
      <c r="Z205" s="762"/>
      <c r="AA205" s="721">
        <f>COUNTIF(H205:Z210, "SI")</f>
        <v>0</v>
      </c>
      <c r="AB205" s="762"/>
      <c r="AC205" s="719" t="e">
        <f>+VLOOKUP(AB205,Listados!$K$8:$L$12,2,0)</f>
        <v>#N/A</v>
      </c>
      <c r="AD205" s="721" t="str">
        <f>+IF(OR(AA205=1,AA205&lt;=5),"Moderado",IF(OR(AA205=6,AA205&lt;=11),"Mayor","Catastrófico"))</f>
        <v>Moderado</v>
      </c>
      <c r="AE205" s="719" t="e">
        <f>+VLOOKUP(AD205,Listados!K211:L215,2,0)</f>
        <v>#N/A</v>
      </c>
      <c r="AF205" s="714" t="str">
        <f>IF(AND(AB205&lt;&gt;"",AD205&lt;&gt;""),VLOOKUP(AB205&amp;AD205,Listados!$M$3:$N$27,2,FALSE),"")</f>
        <v/>
      </c>
      <c r="AG205" s="52" t="s">
        <v>467</v>
      </c>
      <c r="AH205" s="145"/>
      <c r="AI205" s="145"/>
      <c r="AJ205" s="145"/>
      <c r="AK205" s="28" t="str">
        <f t="shared" si="41"/>
        <v/>
      </c>
      <c r="AL205" s="145"/>
      <c r="AM205" s="28" t="str">
        <f t="shared" si="42"/>
        <v/>
      </c>
      <c r="AN205" s="140"/>
      <c r="AO205" s="28" t="str">
        <f t="shared" si="43"/>
        <v/>
      </c>
      <c r="AP205" s="140"/>
      <c r="AQ205" s="28" t="str">
        <f t="shared" si="44"/>
        <v/>
      </c>
      <c r="AR205" s="140"/>
      <c r="AS205" s="28" t="str">
        <f t="shared" si="45"/>
        <v/>
      </c>
      <c r="AT205" s="140"/>
      <c r="AU205" s="28" t="str">
        <f t="shared" si="46"/>
        <v/>
      </c>
      <c r="AV205" s="140"/>
      <c r="AW205" s="28" t="str">
        <f t="shared" si="47"/>
        <v/>
      </c>
      <c r="AX205" s="111" t="str">
        <f t="shared" si="48"/>
        <v/>
      </c>
      <c r="AY205" s="111" t="str">
        <f t="shared" si="49"/>
        <v/>
      </c>
      <c r="AZ205" s="141"/>
      <c r="BA205" s="153" t="str">
        <f t="shared" si="50"/>
        <v>Débil</v>
      </c>
      <c r="BB205" s="22" t="str">
        <f>IFERROR(VLOOKUP((CONCATENATE(AY205,BA205)),Listados!$U$3:$V$11,2,FALSE),"")</f>
        <v/>
      </c>
      <c r="BC205" s="111">
        <f t="shared" si="51"/>
        <v>100</v>
      </c>
      <c r="BD205" s="716">
        <f>AVERAGE(BC205:BC210)</f>
        <v>100</v>
      </c>
      <c r="BE205" s="718" t="str">
        <f>IF(BD205&lt;=50, "Débil", IF(BD205&lt;=99,"Moderado","Fuerte"))</f>
        <v>Fuerte</v>
      </c>
      <c r="BF205" s="716">
        <f>+IF(BE205="Fuerte",2,IF(BE205="Moderado",1,0))</f>
        <v>2</v>
      </c>
      <c r="BG205" s="716" t="e">
        <f>+AC205-BF205</f>
        <v>#N/A</v>
      </c>
      <c r="BH205" s="712" t="e">
        <f>+VLOOKUP(BG205,Listados!$J$18:$K$24,2,TRUE)</f>
        <v>#N/A</v>
      </c>
      <c r="BI205" s="714" t="str">
        <f>IF(ISBLANK(AD205),"",AD205)</f>
        <v>Moderado</v>
      </c>
      <c r="BJ205" s="712" t="e">
        <f>IF(AND(BH205&lt;&gt;"",BI205&lt;&gt;""),VLOOKUP(BH205&amp;BI205,Listados!$M$3:$N$27,2,FALSE),"")</f>
        <v>#N/A</v>
      </c>
      <c r="BK205" s="712" t="e">
        <f>+VLOOKUP(BJ205,Listados!$P$3:$Q$6,2,FALSE)</f>
        <v>#N/A</v>
      </c>
      <c r="BL205" s="799"/>
      <c r="BM205" s="800"/>
      <c r="BN205" s="801"/>
      <c r="BO205" s="799"/>
      <c r="BP205" s="800"/>
      <c r="BQ205" s="801"/>
      <c r="BR205" s="799"/>
      <c r="BS205" s="800"/>
      <c r="BT205" s="801"/>
    </row>
    <row r="206" spans="1:72" ht="15" thickBot="1">
      <c r="A206" s="724"/>
      <c r="B206" s="777"/>
      <c r="C206" s="730"/>
      <c r="D206" s="736"/>
      <c r="E206" s="161"/>
      <c r="F206" s="150"/>
      <c r="G206" s="736"/>
      <c r="H206" s="764"/>
      <c r="I206" s="764"/>
      <c r="J206" s="764"/>
      <c r="K206" s="764"/>
      <c r="L206" s="764"/>
      <c r="M206" s="764"/>
      <c r="N206" s="764"/>
      <c r="O206" s="764"/>
      <c r="P206" s="764"/>
      <c r="Q206" s="764"/>
      <c r="R206" s="764"/>
      <c r="S206" s="764"/>
      <c r="T206" s="764"/>
      <c r="U206" s="764"/>
      <c r="V206" s="764"/>
      <c r="W206" s="764"/>
      <c r="X206" s="764"/>
      <c r="Y206" s="764"/>
      <c r="Z206" s="727"/>
      <c r="AA206" s="722"/>
      <c r="AB206" s="727"/>
      <c r="AC206" s="720"/>
      <c r="AD206" s="722" t="str">
        <f>+IF(OR(AB206=1,AB206&lt;=5),"Moderado",IF(OR(AB206=6,AB206&lt;=11),"Mayor","Catastrófico"))</f>
        <v>Moderado</v>
      </c>
      <c r="AE206" s="720"/>
      <c r="AF206" s="715"/>
      <c r="AG206" s="52" t="s">
        <v>467</v>
      </c>
      <c r="AH206" s="145"/>
      <c r="AI206" s="145"/>
      <c r="AJ206" s="145"/>
      <c r="AK206" s="28" t="str">
        <f t="shared" si="41"/>
        <v/>
      </c>
      <c r="AL206" s="145"/>
      <c r="AM206" s="28" t="str">
        <f t="shared" si="42"/>
        <v/>
      </c>
      <c r="AN206" s="140"/>
      <c r="AO206" s="28" t="str">
        <f t="shared" si="43"/>
        <v/>
      </c>
      <c r="AP206" s="140"/>
      <c r="AQ206" s="28" t="str">
        <f t="shared" si="44"/>
        <v/>
      </c>
      <c r="AR206" s="140"/>
      <c r="AS206" s="28" t="str">
        <f t="shared" si="45"/>
        <v/>
      </c>
      <c r="AT206" s="140"/>
      <c r="AU206" s="28" t="str">
        <f t="shared" si="46"/>
        <v/>
      </c>
      <c r="AV206" s="140"/>
      <c r="AW206" s="28" t="str">
        <f t="shared" si="47"/>
        <v/>
      </c>
      <c r="AX206" s="111" t="str">
        <f t="shared" si="48"/>
        <v/>
      </c>
      <c r="AY206" s="111" t="str">
        <f t="shared" si="49"/>
        <v/>
      </c>
      <c r="AZ206" s="141"/>
      <c r="BA206" s="153" t="str">
        <f t="shared" si="50"/>
        <v>Débil</v>
      </c>
      <c r="BB206" s="22" t="str">
        <f>IFERROR(VLOOKUP((CONCATENATE(AY206,BA206)),Listados!$U$3:$V$11,2,FALSE),"")</f>
        <v/>
      </c>
      <c r="BC206" s="111">
        <f t="shared" si="51"/>
        <v>100</v>
      </c>
      <c r="BD206" s="717"/>
      <c r="BE206" s="761"/>
      <c r="BF206" s="717"/>
      <c r="BG206" s="717"/>
      <c r="BH206" s="713"/>
      <c r="BI206" s="715"/>
      <c r="BJ206" s="713"/>
      <c r="BK206" s="713"/>
      <c r="BL206" s="799"/>
      <c r="BM206" s="800"/>
      <c r="BN206" s="801"/>
      <c r="BO206" s="799"/>
      <c r="BP206" s="800"/>
      <c r="BQ206" s="801"/>
      <c r="BR206" s="799"/>
      <c r="BS206" s="800"/>
      <c r="BT206" s="801"/>
    </row>
    <row r="207" spans="1:72" ht="15" thickBot="1">
      <c r="A207" s="724"/>
      <c r="B207" s="777"/>
      <c r="C207" s="730"/>
      <c r="D207" s="736"/>
      <c r="E207" s="161"/>
      <c r="F207" s="150"/>
      <c r="G207" s="736"/>
      <c r="H207" s="764"/>
      <c r="I207" s="764"/>
      <c r="J207" s="764"/>
      <c r="K207" s="764"/>
      <c r="L207" s="764"/>
      <c r="M207" s="764"/>
      <c r="N207" s="764"/>
      <c r="O207" s="764"/>
      <c r="P207" s="764"/>
      <c r="Q207" s="764"/>
      <c r="R207" s="764"/>
      <c r="S207" s="764"/>
      <c r="T207" s="764"/>
      <c r="U207" s="764"/>
      <c r="V207" s="764"/>
      <c r="W207" s="764"/>
      <c r="X207" s="764"/>
      <c r="Y207" s="764"/>
      <c r="Z207" s="727"/>
      <c r="AA207" s="722"/>
      <c r="AB207" s="727"/>
      <c r="AC207" s="720"/>
      <c r="AD207" s="722" t="str">
        <f>+IF(OR(AB207=1,AB207&lt;=5),"Moderado",IF(OR(AB207=6,AB207&lt;=11),"Mayor","Catastrófico"))</f>
        <v>Moderado</v>
      </c>
      <c r="AE207" s="720"/>
      <c r="AF207" s="715"/>
      <c r="AG207" s="52" t="s">
        <v>467</v>
      </c>
      <c r="AH207" s="145"/>
      <c r="AI207" s="145"/>
      <c r="AJ207" s="145"/>
      <c r="AK207" s="28" t="str">
        <f t="shared" si="41"/>
        <v/>
      </c>
      <c r="AL207" s="145"/>
      <c r="AM207" s="28" t="str">
        <f t="shared" si="42"/>
        <v/>
      </c>
      <c r="AN207" s="140"/>
      <c r="AO207" s="28" t="str">
        <f t="shared" si="43"/>
        <v/>
      </c>
      <c r="AP207" s="140"/>
      <c r="AQ207" s="28" t="str">
        <f t="shared" si="44"/>
        <v/>
      </c>
      <c r="AR207" s="140"/>
      <c r="AS207" s="28" t="str">
        <f t="shared" si="45"/>
        <v/>
      </c>
      <c r="AT207" s="140"/>
      <c r="AU207" s="28" t="str">
        <f t="shared" si="46"/>
        <v/>
      </c>
      <c r="AV207" s="140"/>
      <c r="AW207" s="28" t="str">
        <f t="shared" si="47"/>
        <v/>
      </c>
      <c r="AX207" s="111" t="str">
        <f t="shared" si="48"/>
        <v/>
      </c>
      <c r="AY207" s="111" t="str">
        <f t="shared" si="49"/>
        <v/>
      </c>
      <c r="AZ207" s="141"/>
      <c r="BA207" s="153" t="str">
        <f t="shared" si="50"/>
        <v>Débil</v>
      </c>
      <c r="BB207" s="22" t="str">
        <f>IFERROR(VLOOKUP((CONCATENATE(AY207,BA207)),Listados!$U$3:$V$11,2,FALSE),"")</f>
        <v/>
      </c>
      <c r="BC207" s="111">
        <f t="shared" si="51"/>
        <v>100</v>
      </c>
      <c r="BD207" s="717"/>
      <c r="BE207" s="761"/>
      <c r="BF207" s="717"/>
      <c r="BG207" s="717"/>
      <c r="BH207" s="713"/>
      <c r="BI207" s="715"/>
      <c r="BJ207" s="713"/>
      <c r="BK207" s="713"/>
      <c r="BL207" s="799"/>
      <c r="BM207" s="800"/>
      <c r="BN207" s="801"/>
      <c r="BO207" s="799"/>
      <c r="BP207" s="800"/>
      <c r="BQ207" s="801"/>
      <c r="BR207" s="799"/>
      <c r="BS207" s="800"/>
      <c r="BT207" s="801"/>
    </row>
    <row r="208" spans="1:72" ht="15" thickBot="1">
      <c r="A208" s="724"/>
      <c r="B208" s="777"/>
      <c r="C208" s="730"/>
      <c r="D208" s="736"/>
      <c r="E208" s="755"/>
      <c r="F208" s="769"/>
      <c r="G208" s="736"/>
      <c r="H208" s="764"/>
      <c r="I208" s="764"/>
      <c r="J208" s="764"/>
      <c r="K208" s="764"/>
      <c r="L208" s="764"/>
      <c r="M208" s="764"/>
      <c r="N208" s="764"/>
      <c r="O208" s="764"/>
      <c r="P208" s="764"/>
      <c r="Q208" s="764"/>
      <c r="R208" s="764"/>
      <c r="S208" s="764"/>
      <c r="T208" s="764"/>
      <c r="U208" s="764"/>
      <c r="V208" s="764"/>
      <c r="W208" s="764"/>
      <c r="X208" s="764"/>
      <c r="Y208" s="764"/>
      <c r="Z208" s="727"/>
      <c r="AA208" s="722"/>
      <c r="AB208" s="727"/>
      <c r="AC208" s="720"/>
      <c r="AD208" s="722" t="str">
        <f>+IF(OR(AB208=1,AB208&lt;=5),"Moderado",IF(OR(AB208=6,AB208&lt;=11),"Mayor","Catastrófico"))</f>
        <v>Moderado</v>
      </c>
      <c r="AE208" s="720"/>
      <c r="AF208" s="715"/>
      <c r="AG208" s="52" t="s">
        <v>467</v>
      </c>
      <c r="AH208" s="145"/>
      <c r="AI208" s="145"/>
      <c r="AJ208" s="145"/>
      <c r="AK208" s="28" t="str">
        <f t="shared" si="41"/>
        <v/>
      </c>
      <c r="AL208" s="145"/>
      <c r="AM208" s="28" t="str">
        <f t="shared" si="42"/>
        <v/>
      </c>
      <c r="AN208" s="140"/>
      <c r="AO208" s="28" t="str">
        <f t="shared" si="43"/>
        <v/>
      </c>
      <c r="AP208" s="140"/>
      <c r="AQ208" s="28" t="str">
        <f t="shared" si="44"/>
        <v/>
      </c>
      <c r="AR208" s="140"/>
      <c r="AS208" s="28" t="str">
        <f t="shared" si="45"/>
        <v/>
      </c>
      <c r="AT208" s="140"/>
      <c r="AU208" s="28" t="str">
        <f t="shared" si="46"/>
        <v/>
      </c>
      <c r="AV208" s="140"/>
      <c r="AW208" s="28" t="str">
        <f t="shared" si="47"/>
        <v/>
      </c>
      <c r="AX208" s="111" t="str">
        <f t="shared" si="48"/>
        <v/>
      </c>
      <c r="AY208" s="111" t="str">
        <f t="shared" si="49"/>
        <v/>
      </c>
      <c r="AZ208" s="141"/>
      <c r="BA208" s="153" t="str">
        <f t="shared" si="50"/>
        <v>Débil</v>
      </c>
      <c r="BB208" s="22" t="str">
        <f>IFERROR(VLOOKUP((CONCATENATE(AY208,BA208)),Listados!$U$3:$V$11,2,FALSE),"")</f>
        <v/>
      </c>
      <c r="BC208" s="111">
        <f t="shared" si="51"/>
        <v>100</v>
      </c>
      <c r="BD208" s="717"/>
      <c r="BE208" s="761"/>
      <c r="BF208" s="717"/>
      <c r="BG208" s="717"/>
      <c r="BH208" s="713"/>
      <c r="BI208" s="715"/>
      <c r="BJ208" s="713"/>
      <c r="BK208" s="713"/>
      <c r="BL208" s="799"/>
      <c r="BM208" s="800"/>
      <c r="BN208" s="801"/>
      <c r="BO208" s="799"/>
      <c r="BP208" s="800"/>
      <c r="BQ208" s="801"/>
      <c r="BR208" s="799"/>
      <c r="BS208" s="800"/>
      <c r="BT208" s="801"/>
    </row>
    <row r="209" spans="1:72" ht="15" thickBot="1">
      <c r="A209" s="724"/>
      <c r="B209" s="777"/>
      <c r="C209" s="730"/>
      <c r="D209" s="736"/>
      <c r="E209" s="756"/>
      <c r="F209" s="770"/>
      <c r="G209" s="736"/>
      <c r="H209" s="764"/>
      <c r="I209" s="764"/>
      <c r="J209" s="764"/>
      <c r="K209" s="764"/>
      <c r="L209" s="764"/>
      <c r="M209" s="764"/>
      <c r="N209" s="764"/>
      <c r="O209" s="764"/>
      <c r="P209" s="764"/>
      <c r="Q209" s="764"/>
      <c r="R209" s="764"/>
      <c r="S209" s="764"/>
      <c r="T209" s="764"/>
      <c r="U209" s="764"/>
      <c r="V209" s="764"/>
      <c r="W209" s="764"/>
      <c r="X209" s="764"/>
      <c r="Y209" s="764"/>
      <c r="Z209" s="727"/>
      <c r="AA209" s="722"/>
      <c r="AB209" s="727"/>
      <c r="AC209" s="720"/>
      <c r="AD209" s="722" t="str">
        <f>+IF(OR(AB209=1,AB209&lt;=5),"Moderado",IF(OR(AB209=6,AB209&lt;=11),"Mayor","Catastrófico"))</f>
        <v>Moderado</v>
      </c>
      <c r="AE209" s="720"/>
      <c r="AF209" s="715"/>
      <c r="AG209" s="52" t="s">
        <v>467</v>
      </c>
      <c r="AH209" s="145"/>
      <c r="AI209" s="145"/>
      <c r="AJ209" s="145"/>
      <c r="AK209" s="28" t="str">
        <f t="shared" si="41"/>
        <v/>
      </c>
      <c r="AL209" s="145"/>
      <c r="AM209" s="28" t="str">
        <f t="shared" si="42"/>
        <v/>
      </c>
      <c r="AN209" s="140"/>
      <c r="AO209" s="28" t="str">
        <f t="shared" si="43"/>
        <v/>
      </c>
      <c r="AP209" s="140"/>
      <c r="AQ209" s="28" t="str">
        <f t="shared" si="44"/>
        <v/>
      </c>
      <c r="AR209" s="140"/>
      <c r="AS209" s="28" t="str">
        <f t="shared" si="45"/>
        <v/>
      </c>
      <c r="AT209" s="140"/>
      <c r="AU209" s="28" t="str">
        <f t="shared" si="46"/>
        <v/>
      </c>
      <c r="AV209" s="140"/>
      <c r="AW209" s="28" t="str">
        <f t="shared" si="47"/>
        <v/>
      </c>
      <c r="AX209" s="111" t="str">
        <f t="shared" si="48"/>
        <v/>
      </c>
      <c r="AY209" s="111" t="str">
        <f t="shared" si="49"/>
        <v/>
      </c>
      <c r="AZ209" s="141"/>
      <c r="BA209" s="153" t="str">
        <f t="shared" si="50"/>
        <v>Débil</v>
      </c>
      <c r="BB209" s="22" t="str">
        <f>IFERROR(VLOOKUP((CONCATENATE(AY209,BA209)),Listados!$U$3:$V$11,2,FALSE),"")</f>
        <v/>
      </c>
      <c r="BC209" s="111">
        <f t="shared" si="51"/>
        <v>100</v>
      </c>
      <c r="BD209" s="717"/>
      <c r="BE209" s="761"/>
      <c r="BF209" s="717"/>
      <c r="BG209" s="717"/>
      <c r="BH209" s="713"/>
      <c r="BI209" s="715"/>
      <c r="BJ209" s="713"/>
      <c r="BK209" s="713"/>
      <c r="BL209" s="799"/>
      <c r="BM209" s="800"/>
      <c r="BN209" s="801"/>
      <c r="BO209" s="799"/>
      <c r="BP209" s="800"/>
      <c r="BQ209" s="801"/>
      <c r="BR209" s="799"/>
      <c r="BS209" s="800"/>
      <c r="BT209" s="801"/>
    </row>
    <row r="210" spans="1:72" ht="15" thickBot="1">
      <c r="A210" s="725"/>
      <c r="B210" s="777"/>
      <c r="C210" s="731"/>
      <c r="D210" s="781"/>
      <c r="E210" s="757"/>
      <c r="F210" s="771"/>
      <c r="G210" s="736"/>
      <c r="H210" s="764"/>
      <c r="I210" s="764"/>
      <c r="J210" s="764"/>
      <c r="K210" s="764"/>
      <c r="L210" s="764"/>
      <c r="M210" s="764"/>
      <c r="N210" s="764"/>
      <c r="O210" s="764"/>
      <c r="P210" s="764"/>
      <c r="Q210" s="764"/>
      <c r="R210" s="764"/>
      <c r="S210" s="764"/>
      <c r="T210" s="764"/>
      <c r="U210" s="764"/>
      <c r="V210" s="764"/>
      <c r="W210" s="764"/>
      <c r="X210" s="764"/>
      <c r="Y210" s="764"/>
      <c r="Z210" s="727"/>
      <c r="AA210" s="722"/>
      <c r="AB210" s="727"/>
      <c r="AC210" s="721"/>
      <c r="AD210" s="722" t="str">
        <f>+IF(OR(AB210=1,AB210&lt;=5),"Moderado",IF(OR(AB210=6,AB210&lt;=11),"Mayor","Catastrófico"))</f>
        <v>Moderado</v>
      </c>
      <c r="AE210" s="721"/>
      <c r="AF210" s="715"/>
      <c r="AG210" s="52" t="s">
        <v>467</v>
      </c>
      <c r="AH210" s="145"/>
      <c r="AI210" s="145"/>
      <c r="AJ210" s="145"/>
      <c r="AK210" s="28" t="str">
        <f t="shared" si="41"/>
        <v/>
      </c>
      <c r="AL210" s="145"/>
      <c r="AM210" s="28" t="str">
        <f t="shared" si="42"/>
        <v/>
      </c>
      <c r="AN210" s="140"/>
      <c r="AO210" s="28" t="str">
        <f t="shared" si="43"/>
        <v/>
      </c>
      <c r="AP210" s="140"/>
      <c r="AQ210" s="28" t="str">
        <f t="shared" si="44"/>
        <v/>
      </c>
      <c r="AR210" s="140"/>
      <c r="AS210" s="28" t="str">
        <f t="shared" si="45"/>
        <v/>
      </c>
      <c r="AT210" s="140"/>
      <c r="AU210" s="28" t="str">
        <f t="shared" si="46"/>
        <v/>
      </c>
      <c r="AV210" s="140"/>
      <c r="AW210" s="28" t="str">
        <f t="shared" si="47"/>
        <v/>
      </c>
      <c r="AX210" s="111" t="str">
        <f t="shared" si="48"/>
        <v/>
      </c>
      <c r="AY210" s="111" t="str">
        <f t="shared" si="49"/>
        <v/>
      </c>
      <c r="AZ210" s="141"/>
      <c r="BA210" s="153" t="str">
        <f t="shared" si="50"/>
        <v>Débil</v>
      </c>
      <c r="BB210" s="22" t="str">
        <f>IFERROR(VLOOKUP((CONCATENATE(AY210,BA210)),Listados!$U$3:$V$11,2,FALSE),"")</f>
        <v/>
      </c>
      <c r="BC210" s="111">
        <f t="shared" si="51"/>
        <v>100</v>
      </c>
      <c r="BD210" s="718"/>
      <c r="BE210" s="761"/>
      <c r="BF210" s="718"/>
      <c r="BG210" s="718"/>
      <c r="BH210" s="714"/>
      <c r="BI210" s="715"/>
      <c r="BJ210" s="714"/>
      <c r="BK210" s="714"/>
      <c r="BL210" s="799"/>
      <c r="BM210" s="800"/>
      <c r="BN210" s="801"/>
      <c r="BO210" s="799"/>
      <c r="BP210" s="800"/>
      <c r="BQ210" s="801"/>
      <c r="BR210" s="799"/>
      <c r="BS210" s="800"/>
      <c r="BT210" s="801"/>
    </row>
    <row r="211" spans="1:72" ht="15" thickBot="1">
      <c r="A211" s="723">
        <v>35</v>
      </c>
      <c r="B211" s="776"/>
      <c r="C211" s="729" t="str">
        <f>IFERROR(VLOOKUP(B211,Listados!B$3:C$20,2,FALSE),"")</f>
        <v/>
      </c>
      <c r="D211" s="735" t="s">
        <v>584</v>
      </c>
      <c r="E211" s="105"/>
      <c r="F211" s="18"/>
      <c r="G211" s="735"/>
      <c r="H211" s="763"/>
      <c r="I211" s="763"/>
      <c r="J211" s="763"/>
      <c r="K211" s="763"/>
      <c r="L211" s="763"/>
      <c r="M211" s="763"/>
      <c r="N211" s="763"/>
      <c r="O211" s="763"/>
      <c r="P211" s="763"/>
      <c r="Q211" s="763"/>
      <c r="R211" s="763"/>
      <c r="S211" s="763"/>
      <c r="T211" s="763"/>
      <c r="U211" s="763"/>
      <c r="V211" s="763"/>
      <c r="W211" s="763"/>
      <c r="X211" s="763"/>
      <c r="Y211" s="763"/>
      <c r="Z211" s="762"/>
      <c r="AA211" s="721">
        <f>COUNTIF(H211:Z216, "SI")</f>
        <v>0</v>
      </c>
      <c r="AB211" s="762"/>
      <c r="AC211" s="719" t="e">
        <f>+VLOOKUP(AB211,Listados!$K$8:$L$12,2,0)</f>
        <v>#N/A</v>
      </c>
      <c r="AD211" s="721" t="str">
        <f>+IF(OR(AA211=1,AA211&lt;=5),"Moderado",IF(OR(AA211=6,AA211&lt;=11),"Mayor","Catastrófico"))</f>
        <v>Moderado</v>
      </c>
      <c r="AE211" s="719" t="e">
        <f>+VLOOKUP(AD211,Listados!K217:L221,2,0)</f>
        <v>#N/A</v>
      </c>
      <c r="AF211" s="714" t="str">
        <f>IF(AND(AB211&lt;&gt;"",AD211&lt;&gt;""),VLOOKUP(AB211&amp;AD211,Listados!$M$3:$N$27,2,FALSE),"")</f>
        <v/>
      </c>
      <c r="AG211" s="52" t="s">
        <v>467</v>
      </c>
      <c r="AH211" s="145"/>
      <c r="AI211" s="145"/>
      <c r="AJ211" s="145"/>
      <c r="AK211" s="28" t="str">
        <f t="shared" si="41"/>
        <v/>
      </c>
      <c r="AL211" s="145"/>
      <c r="AM211" s="28" t="str">
        <f t="shared" si="42"/>
        <v/>
      </c>
      <c r="AN211" s="140"/>
      <c r="AO211" s="28" t="str">
        <f t="shared" si="43"/>
        <v/>
      </c>
      <c r="AP211" s="140"/>
      <c r="AQ211" s="28" t="str">
        <f t="shared" si="44"/>
        <v/>
      </c>
      <c r="AR211" s="140"/>
      <c r="AS211" s="28" t="str">
        <f t="shared" si="45"/>
        <v/>
      </c>
      <c r="AT211" s="140"/>
      <c r="AU211" s="28" t="str">
        <f t="shared" si="46"/>
        <v/>
      </c>
      <c r="AV211" s="140"/>
      <c r="AW211" s="28" t="str">
        <f t="shared" si="47"/>
        <v/>
      </c>
      <c r="AX211" s="111" t="str">
        <f t="shared" si="48"/>
        <v/>
      </c>
      <c r="AY211" s="111" t="str">
        <f t="shared" si="49"/>
        <v/>
      </c>
      <c r="AZ211" s="141"/>
      <c r="BA211" s="153" t="str">
        <f t="shared" si="50"/>
        <v>Débil</v>
      </c>
      <c r="BB211" s="22" t="str">
        <f>IFERROR(VLOOKUP((CONCATENATE(AY211,BA211)),Listados!$U$3:$V$11,2,FALSE),"")</f>
        <v/>
      </c>
      <c r="BC211" s="111">
        <f t="shared" si="51"/>
        <v>100</v>
      </c>
      <c r="BD211" s="716">
        <f>AVERAGE(BC211:BC216)</f>
        <v>100</v>
      </c>
      <c r="BE211" s="718" t="str">
        <f>IF(BD211&lt;=50, "Débil", IF(BD211&lt;=99,"Moderado","Fuerte"))</f>
        <v>Fuerte</v>
      </c>
      <c r="BF211" s="716">
        <f>+IF(BE211="Fuerte",2,IF(BE211="Moderado",1,0))</f>
        <v>2</v>
      </c>
      <c r="BG211" s="716" t="e">
        <f>+AC211-BF211</f>
        <v>#N/A</v>
      </c>
      <c r="BH211" s="712" t="e">
        <f>+VLOOKUP(BG211,Listados!$J$18:$K$24,2,TRUE)</f>
        <v>#N/A</v>
      </c>
      <c r="BI211" s="714" t="str">
        <f>IF(ISBLANK(AD211),"",AD211)</f>
        <v>Moderado</v>
      </c>
      <c r="BJ211" s="712" t="e">
        <f>IF(AND(BH211&lt;&gt;"",BI211&lt;&gt;""),VLOOKUP(BH211&amp;BI211,Listados!$M$3:$N$27,2,FALSE),"")</f>
        <v>#N/A</v>
      </c>
      <c r="BK211" s="712" t="e">
        <f>+VLOOKUP(BJ211,Listados!$P$3:$Q$6,2,FALSE)</f>
        <v>#N/A</v>
      </c>
      <c r="BL211" s="799"/>
      <c r="BM211" s="800"/>
      <c r="BN211" s="801"/>
      <c r="BO211" s="799"/>
      <c r="BP211" s="800"/>
      <c r="BQ211" s="801"/>
      <c r="BR211" s="799"/>
      <c r="BS211" s="800"/>
      <c r="BT211" s="801"/>
    </row>
    <row r="212" spans="1:72" ht="15" thickBot="1">
      <c r="A212" s="724"/>
      <c r="B212" s="777"/>
      <c r="C212" s="730"/>
      <c r="D212" s="736"/>
      <c r="E212" s="161"/>
      <c r="F212" s="150"/>
      <c r="G212" s="736"/>
      <c r="H212" s="764"/>
      <c r="I212" s="764"/>
      <c r="J212" s="764"/>
      <c r="K212" s="764"/>
      <c r="L212" s="764"/>
      <c r="M212" s="764"/>
      <c r="N212" s="764"/>
      <c r="O212" s="764"/>
      <c r="P212" s="764"/>
      <c r="Q212" s="764"/>
      <c r="R212" s="764"/>
      <c r="S212" s="764"/>
      <c r="T212" s="764"/>
      <c r="U212" s="764"/>
      <c r="V212" s="764"/>
      <c r="W212" s="764"/>
      <c r="X212" s="764"/>
      <c r="Y212" s="764"/>
      <c r="Z212" s="727"/>
      <c r="AA212" s="722"/>
      <c r="AB212" s="727"/>
      <c r="AC212" s="720"/>
      <c r="AD212" s="722" t="str">
        <f>+IF(OR(AB212=1,AB212&lt;=5),"Moderado",IF(OR(AB212=6,AB212&lt;=11),"Mayor","Catastrófico"))</f>
        <v>Moderado</v>
      </c>
      <c r="AE212" s="720"/>
      <c r="AF212" s="715"/>
      <c r="AG212" s="52" t="s">
        <v>467</v>
      </c>
      <c r="AH212" s="145"/>
      <c r="AI212" s="145"/>
      <c r="AJ212" s="145"/>
      <c r="AK212" s="28" t="str">
        <f t="shared" si="41"/>
        <v/>
      </c>
      <c r="AL212" s="145"/>
      <c r="AM212" s="28" t="str">
        <f t="shared" si="42"/>
        <v/>
      </c>
      <c r="AN212" s="140"/>
      <c r="AO212" s="28" t="str">
        <f t="shared" si="43"/>
        <v/>
      </c>
      <c r="AP212" s="140"/>
      <c r="AQ212" s="28" t="str">
        <f t="shared" si="44"/>
        <v/>
      </c>
      <c r="AR212" s="140"/>
      <c r="AS212" s="28" t="str">
        <f t="shared" si="45"/>
        <v/>
      </c>
      <c r="AT212" s="140"/>
      <c r="AU212" s="28" t="str">
        <f t="shared" si="46"/>
        <v/>
      </c>
      <c r="AV212" s="140"/>
      <c r="AW212" s="28" t="str">
        <f t="shared" si="47"/>
        <v/>
      </c>
      <c r="AX212" s="111" t="str">
        <f t="shared" si="48"/>
        <v/>
      </c>
      <c r="AY212" s="111" t="str">
        <f t="shared" si="49"/>
        <v/>
      </c>
      <c r="AZ212" s="141"/>
      <c r="BA212" s="153" t="str">
        <f t="shared" si="50"/>
        <v>Débil</v>
      </c>
      <c r="BB212" s="22" t="str">
        <f>IFERROR(VLOOKUP((CONCATENATE(AY212,BA212)),Listados!$U$3:$V$11,2,FALSE),"")</f>
        <v/>
      </c>
      <c r="BC212" s="111">
        <f t="shared" si="51"/>
        <v>100</v>
      </c>
      <c r="BD212" s="717"/>
      <c r="BE212" s="761"/>
      <c r="BF212" s="717"/>
      <c r="BG212" s="717"/>
      <c r="BH212" s="713"/>
      <c r="BI212" s="715"/>
      <c r="BJ212" s="713"/>
      <c r="BK212" s="713"/>
      <c r="BL212" s="799"/>
      <c r="BM212" s="800"/>
      <c r="BN212" s="801"/>
      <c r="BO212" s="799"/>
      <c r="BP212" s="800"/>
      <c r="BQ212" s="801"/>
      <c r="BR212" s="799"/>
      <c r="BS212" s="800"/>
      <c r="BT212" s="801"/>
    </row>
    <row r="213" spans="1:72" ht="15" thickBot="1">
      <c r="A213" s="724"/>
      <c r="B213" s="777"/>
      <c r="C213" s="730"/>
      <c r="D213" s="736"/>
      <c r="E213" s="161"/>
      <c r="F213" s="150"/>
      <c r="G213" s="736"/>
      <c r="H213" s="764"/>
      <c r="I213" s="764"/>
      <c r="J213" s="764"/>
      <c r="K213" s="764"/>
      <c r="L213" s="764"/>
      <c r="M213" s="764"/>
      <c r="N213" s="764"/>
      <c r="O213" s="764"/>
      <c r="P213" s="764"/>
      <c r="Q213" s="764"/>
      <c r="R213" s="764"/>
      <c r="S213" s="764"/>
      <c r="T213" s="764"/>
      <c r="U213" s="764"/>
      <c r="V213" s="764"/>
      <c r="W213" s="764"/>
      <c r="X213" s="764"/>
      <c r="Y213" s="764"/>
      <c r="Z213" s="727"/>
      <c r="AA213" s="722"/>
      <c r="AB213" s="727"/>
      <c r="AC213" s="720"/>
      <c r="AD213" s="722" t="str">
        <f>+IF(OR(AB213=1,AB213&lt;=5),"Moderado",IF(OR(AB213=6,AB213&lt;=11),"Mayor","Catastrófico"))</f>
        <v>Moderado</v>
      </c>
      <c r="AE213" s="720"/>
      <c r="AF213" s="715"/>
      <c r="AG213" s="52" t="s">
        <v>467</v>
      </c>
      <c r="AH213" s="145"/>
      <c r="AI213" s="145"/>
      <c r="AJ213" s="145"/>
      <c r="AK213" s="28" t="str">
        <f t="shared" si="41"/>
        <v/>
      </c>
      <c r="AL213" s="145"/>
      <c r="AM213" s="28" t="str">
        <f t="shared" si="42"/>
        <v/>
      </c>
      <c r="AN213" s="140"/>
      <c r="AO213" s="28" t="str">
        <f t="shared" si="43"/>
        <v/>
      </c>
      <c r="AP213" s="140"/>
      <c r="AQ213" s="28" t="str">
        <f t="shared" si="44"/>
        <v/>
      </c>
      <c r="AR213" s="140"/>
      <c r="AS213" s="28" t="str">
        <f t="shared" si="45"/>
        <v/>
      </c>
      <c r="AT213" s="140"/>
      <c r="AU213" s="28" t="str">
        <f t="shared" si="46"/>
        <v/>
      </c>
      <c r="AV213" s="140"/>
      <c r="AW213" s="28" t="str">
        <f t="shared" si="47"/>
        <v/>
      </c>
      <c r="AX213" s="111" t="str">
        <f t="shared" si="48"/>
        <v/>
      </c>
      <c r="AY213" s="111" t="str">
        <f t="shared" si="49"/>
        <v/>
      </c>
      <c r="AZ213" s="141"/>
      <c r="BA213" s="153" t="str">
        <f t="shared" si="50"/>
        <v>Débil</v>
      </c>
      <c r="BB213" s="22" t="str">
        <f>IFERROR(VLOOKUP((CONCATENATE(AY213,BA213)),Listados!$U$3:$V$11,2,FALSE),"")</f>
        <v/>
      </c>
      <c r="BC213" s="111">
        <f t="shared" si="51"/>
        <v>100</v>
      </c>
      <c r="BD213" s="717"/>
      <c r="BE213" s="761"/>
      <c r="BF213" s="717"/>
      <c r="BG213" s="717"/>
      <c r="BH213" s="713"/>
      <c r="BI213" s="715"/>
      <c r="BJ213" s="713"/>
      <c r="BK213" s="713"/>
      <c r="BL213" s="799"/>
      <c r="BM213" s="800"/>
      <c r="BN213" s="801"/>
      <c r="BO213" s="799"/>
      <c r="BP213" s="800"/>
      <c r="BQ213" s="801"/>
      <c r="BR213" s="799"/>
      <c r="BS213" s="800"/>
      <c r="BT213" s="801"/>
    </row>
    <row r="214" spans="1:72" ht="15" thickBot="1">
      <c r="A214" s="724"/>
      <c r="B214" s="777"/>
      <c r="C214" s="730"/>
      <c r="D214" s="736"/>
      <c r="E214" s="755"/>
      <c r="F214" s="769"/>
      <c r="G214" s="736"/>
      <c r="H214" s="764"/>
      <c r="I214" s="764"/>
      <c r="J214" s="764"/>
      <c r="K214" s="764"/>
      <c r="L214" s="764"/>
      <c r="M214" s="764"/>
      <c r="N214" s="764"/>
      <c r="O214" s="764"/>
      <c r="P214" s="764"/>
      <c r="Q214" s="764"/>
      <c r="R214" s="764"/>
      <c r="S214" s="764"/>
      <c r="T214" s="764"/>
      <c r="U214" s="764"/>
      <c r="V214" s="764"/>
      <c r="W214" s="764"/>
      <c r="X214" s="764"/>
      <c r="Y214" s="764"/>
      <c r="Z214" s="727"/>
      <c r="AA214" s="722"/>
      <c r="AB214" s="727"/>
      <c r="AC214" s="720"/>
      <c r="AD214" s="722" t="str">
        <f>+IF(OR(AB214=1,AB214&lt;=5),"Moderado",IF(OR(AB214=6,AB214&lt;=11),"Mayor","Catastrófico"))</f>
        <v>Moderado</v>
      </c>
      <c r="AE214" s="720"/>
      <c r="AF214" s="715"/>
      <c r="AG214" s="52" t="s">
        <v>467</v>
      </c>
      <c r="AH214" s="145"/>
      <c r="AI214" s="145"/>
      <c r="AJ214" s="145"/>
      <c r="AK214" s="28" t="str">
        <f t="shared" si="41"/>
        <v/>
      </c>
      <c r="AL214" s="145"/>
      <c r="AM214" s="28" t="str">
        <f t="shared" si="42"/>
        <v/>
      </c>
      <c r="AN214" s="140"/>
      <c r="AO214" s="28" t="str">
        <f t="shared" si="43"/>
        <v/>
      </c>
      <c r="AP214" s="140"/>
      <c r="AQ214" s="28" t="str">
        <f t="shared" si="44"/>
        <v/>
      </c>
      <c r="AR214" s="140"/>
      <c r="AS214" s="28" t="str">
        <f t="shared" si="45"/>
        <v/>
      </c>
      <c r="AT214" s="140"/>
      <c r="AU214" s="28" t="str">
        <f t="shared" si="46"/>
        <v/>
      </c>
      <c r="AV214" s="140"/>
      <c r="AW214" s="28" t="str">
        <f t="shared" si="47"/>
        <v/>
      </c>
      <c r="AX214" s="111" t="str">
        <f t="shared" si="48"/>
        <v/>
      </c>
      <c r="AY214" s="111" t="str">
        <f t="shared" si="49"/>
        <v/>
      </c>
      <c r="AZ214" s="141"/>
      <c r="BA214" s="153" t="str">
        <f t="shared" si="50"/>
        <v>Débil</v>
      </c>
      <c r="BB214" s="22" t="str">
        <f>IFERROR(VLOOKUP((CONCATENATE(AY214,BA214)),Listados!$U$3:$V$11,2,FALSE),"")</f>
        <v/>
      </c>
      <c r="BC214" s="111">
        <f t="shared" si="51"/>
        <v>100</v>
      </c>
      <c r="BD214" s="717"/>
      <c r="BE214" s="761"/>
      <c r="BF214" s="717"/>
      <c r="BG214" s="717"/>
      <c r="BH214" s="713"/>
      <c r="BI214" s="715"/>
      <c r="BJ214" s="713"/>
      <c r="BK214" s="713"/>
      <c r="BL214" s="799"/>
      <c r="BM214" s="800"/>
      <c r="BN214" s="801"/>
      <c r="BO214" s="799"/>
      <c r="BP214" s="800"/>
      <c r="BQ214" s="801"/>
      <c r="BR214" s="799"/>
      <c r="BS214" s="800"/>
      <c r="BT214" s="801"/>
    </row>
    <row r="215" spans="1:72" ht="15" thickBot="1">
      <c r="A215" s="724"/>
      <c r="B215" s="777"/>
      <c r="C215" s="730"/>
      <c r="D215" s="736"/>
      <c r="E215" s="756"/>
      <c r="F215" s="770"/>
      <c r="G215" s="736"/>
      <c r="H215" s="764"/>
      <c r="I215" s="764"/>
      <c r="J215" s="764"/>
      <c r="K215" s="764"/>
      <c r="L215" s="764"/>
      <c r="M215" s="764"/>
      <c r="N215" s="764"/>
      <c r="O215" s="764"/>
      <c r="P215" s="764"/>
      <c r="Q215" s="764"/>
      <c r="R215" s="764"/>
      <c r="S215" s="764"/>
      <c r="T215" s="764"/>
      <c r="U215" s="764"/>
      <c r="V215" s="764"/>
      <c r="W215" s="764"/>
      <c r="X215" s="764"/>
      <c r="Y215" s="764"/>
      <c r="Z215" s="727"/>
      <c r="AA215" s="722"/>
      <c r="AB215" s="727"/>
      <c r="AC215" s="720"/>
      <c r="AD215" s="722" t="str">
        <f>+IF(OR(AB215=1,AB215&lt;=5),"Moderado",IF(OR(AB215=6,AB215&lt;=11),"Mayor","Catastrófico"))</f>
        <v>Moderado</v>
      </c>
      <c r="AE215" s="720"/>
      <c r="AF215" s="715"/>
      <c r="AG215" s="52" t="s">
        <v>467</v>
      </c>
      <c r="AH215" s="145"/>
      <c r="AI215" s="145"/>
      <c r="AJ215" s="145"/>
      <c r="AK215" s="28" t="str">
        <f t="shared" si="41"/>
        <v/>
      </c>
      <c r="AL215" s="145"/>
      <c r="AM215" s="28" t="str">
        <f t="shared" si="42"/>
        <v/>
      </c>
      <c r="AN215" s="140"/>
      <c r="AO215" s="28" t="str">
        <f t="shared" si="43"/>
        <v/>
      </c>
      <c r="AP215" s="140"/>
      <c r="AQ215" s="28" t="str">
        <f t="shared" si="44"/>
        <v/>
      </c>
      <c r="AR215" s="140"/>
      <c r="AS215" s="28" t="str">
        <f t="shared" si="45"/>
        <v/>
      </c>
      <c r="AT215" s="140"/>
      <c r="AU215" s="28" t="str">
        <f t="shared" si="46"/>
        <v/>
      </c>
      <c r="AV215" s="140"/>
      <c r="AW215" s="28" t="str">
        <f t="shared" si="47"/>
        <v/>
      </c>
      <c r="AX215" s="111" t="str">
        <f t="shared" si="48"/>
        <v/>
      </c>
      <c r="AY215" s="111" t="str">
        <f t="shared" si="49"/>
        <v/>
      </c>
      <c r="AZ215" s="141"/>
      <c r="BA215" s="153" t="str">
        <f t="shared" si="50"/>
        <v>Débil</v>
      </c>
      <c r="BB215" s="22" t="str">
        <f>IFERROR(VLOOKUP((CONCATENATE(AY215,BA215)),Listados!$U$3:$V$11,2,FALSE),"")</f>
        <v/>
      </c>
      <c r="BC215" s="111">
        <f t="shared" si="51"/>
        <v>100</v>
      </c>
      <c r="BD215" s="717"/>
      <c r="BE215" s="761"/>
      <c r="BF215" s="717"/>
      <c r="BG215" s="717"/>
      <c r="BH215" s="713"/>
      <c r="BI215" s="715"/>
      <c r="BJ215" s="713"/>
      <c r="BK215" s="713"/>
      <c r="BL215" s="799"/>
      <c r="BM215" s="800"/>
      <c r="BN215" s="801"/>
      <c r="BO215" s="799"/>
      <c r="BP215" s="800"/>
      <c r="BQ215" s="801"/>
      <c r="BR215" s="799"/>
      <c r="BS215" s="800"/>
      <c r="BT215" s="801"/>
    </row>
    <row r="216" spans="1:72" ht="15" thickBot="1">
      <c r="A216" s="725"/>
      <c r="B216" s="777"/>
      <c r="C216" s="731"/>
      <c r="D216" s="781"/>
      <c r="E216" s="757"/>
      <c r="F216" s="771"/>
      <c r="G216" s="736"/>
      <c r="H216" s="764"/>
      <c r="I216" s="764"/>
      <c r="J216" s="764"/>
      <c r="K216" s="764"/>
      <c r="L216" s="764"/>
      <c r="M216" s="764"/>
      <c r="N216" s="764"/>
      <c r="O216" s="764"/>
      <c r="P216" s="764"/>
      <c r="Q216" s="764"/>
      <c r="R216" s="764"/>
      <c r="S216" s="764"/>
      <c r="T216" s="764"/>
      <c r="U216" s="764"/>
      <c r="V216" s="764"/>
      <c r="W216" s="764"/>
      <c r="X216" s="764"/>
      <c r="Y216" s="764"/>
      <c r="Z216" s="727"/>
      <c r="AA216" s="722"/>
      <c r="AB216" s="727"/>
      <c r="AC216" s="721"/>
      <c r="AD216" s="722" t="str">
        <f>+IF(OR(AB216=1,AB216&lt;=5),"Moderado",IF(OR(AB216=6,AB216&lt;=11),"Mayor","Catastrófico"))</f>
        <v>Moderado</v>
      </c>
      <c r="AE216" s="721"/>
      <c r="AF216" s="715"/>
      <c r="AG216" s="52" t="s">
        <v>467</v>
      </c>
      <c r="AH216" s="145"/>
      <c r="AI216" s="145"/>
      <c r="AJ216" s="145"/>
      <c r="AK216" s="28" t="str">
        <f t="shared" si="41"/>
        <v/>
      </c>
      <c r="AL216" s="145"/>
      <c r="AM216" s="28" t="str">
        <f t="shared" si="42"/>
        <v/>
      </c>
      <c r="AN216" s="140"/>
      <c r="AO216" s="28" t="str">
        <f t="shared" si="43"/>
        <v/>
      </c>
      <c r="AP216" s="140"/>
      <c r="AQ216" s="28" t="str">
        <f t="shared" si="44"/>
        <v/>
      </c>
      <c r="AR216" s="140"/>
      <c r="AS216" s="28" t="str">
        <f t="shared" si="45"/>
        <v/>
      </c>
      <c r="AT216" s="140"/>
      <c r="AU216" s="28" t="str">
        <f t="shared" si="46"/>
        <v/>
      </c>
      <c r="AV216" s="140"/>
      <c r="AW216" s="28" t="str">
        <f t="shared" si="47"/>
        <v/>
      </c>
      <c r="AX216" s="111" t="str">
        <f t="shared" si="48"/>
        <v/>
      </c>
      <c r="AY216" s="111" t="str">
        <f t="shared" si="49"/>
        <v/>
      </c>
      <c r="AZ216" s="141"/>
      <c r="BA216" s="153" t="str">
        <f t="shared" si="50"/>
        <v>Débil</v>
      </c>
      <c r="BB216" s="22" t="str">
        <f>IFERROR(VLOOKUP((CONCATENATE(AY216,BA216)),Listados!$U$3:$V$11,2,FALSE),"")</f>
        <v/>
      </c>
      <c r="BC216" s="111">
        <f t="shared" si="51"/>
        <v>100</v>
      </c>
      <c r="BD216" s="718"/>
      <c r="BE216" s="761"/>
      <c r="BF216" s="718"/>
      <c r="BG216" s="718"/>
      <c r="BH216" s="714"/>
      <c r="BI216" s="715"/>
      <c r="BJ216" s="714"/>
      <c r="BK216" s="714"/>
      <c r="BL216" s="799"/>
      <c r="BM216" s="800"/>
      <c r="BN216" s="801"/>
      <c r="BO216" s="799"/>
      <c r="BP216" s="800"/>
      <c r="BQ216" s="801"/>
      <c r="BR216" s="799"/>
      <c r="BS216" s="800"/>
      <c r="BT216" s="801"/>
    </row>
    <row r="217" spans="1:72" ht="15" thickBot="1">
      <c r="A217" s="723">
        <v>36</v>
      </c>
      <c r="B217" s="776"/>
      <c r="C217" s="729" t="str">
        <f>IFERROR(VLOOKUP(B217,Listados!B$3:C$20,2,FALSE),"")</f>
        <v/>
      </c>
      <c r="D217" s="735" t="s">
        <v>584</v>
      </c>
      <c r="E217" s="105"/>
      <c r="F217" s="18"/>
      <c r="G217" s="735"/>
      <c r="H217" s="763"/>
      <c r="I217" s="763"/>
      <c r="J217" s="763"/>
      <c r="K217" s="763"/>
      <c r="L217" s="763"/>
      <c r="M217" s="763"/>
      <c r="N217" s="763"/>
      <c r="O217" s="763"/>
      <c r="P217" s="763"/>
      <c r="Q217" s="763"/>
      <c r="R217" s="763"/>
      <c r="S217" s="763"/>
      <c r="T217" s="763"/>
      <c r="U217" s="763"/>
      <c r="V217" s="763"/>
      <c r="W217" s="763"/>
      <c r="X217" s="763"/>
      <c r="Y217" s="763"/>
      <c r="Z217" s="762"/>
      <c r="AA217" s="721">
        <f>COUNTIF(H217:Z222, "SI")</f>
        <v>0</v>
      </c>
      <c r="AB217" s="762"/>
      <c r="AC217" s="719" t="e">
        <f>+VLOOKUP(AB217,Listados!$K$8:$L$12,2,0)</f>
        <v>#N/A</v>
      </c>
      <c r="AD217" s="721" t="str">
        <f>+IF(OR(AA217=1,AA217&lt;=5),"Moderado",IF(OR(AA217=6,AA217&lt;=11),"Mayor","Catastrófico"))</f>
        <v>Moderado</v>
      </c>
      <c r="AE217" s="719" t="e">
        <f>+VLOOKUP(AD217,Listados!K223:L227,2,0)</f>
        <v>#N/A</v>
      </c>
      <c r="AF217" s="714" t="str">
        <f>IF(AND(AB217&lt;&gt;"",AD217&lt;&gt;""),VLOOKUP(AB217&amp;AD217,Listados!$M$3:$N$27,2,FALSE),"")</f>
        <v/>
      </c>
      <c r="AG217" s="52" t="s">
        <v>467</v>
      </c>
      <c r="AH217" s="145"/>
      <c r="AI217" s="145"/>
      <c r="AJ217" s="145"/>
      <c r="AK217" s="28" t="str">
        <f t="shared" si="41"/>
        <v/>
      </c>
      <c r="AL217" s="145"/>
      <c r="AM217" s="28" t="str">
        <f t="shared" si="42"/>
        <v/>
      </c>
      <c r="AN217" s="140"/>
      <c r="AO217" s="28" t="str">
        <f t="shared" si="43"/>
        <v/>
      </c>
      <c r="AP217" s="140"/>
      <c r="AQ217" s="28" t="str">
        <f t="shared" si="44"/>
        <v/>
      </c>
      <c r="AR217" s="140"/>
      <c r="AS217" s="28" t="str">
        <f t="shared" si="45"/>
        <v/>
      </c>
      <c r="AT217" s="140"/>
      <c r="AU217" s="28" t="str">
        <f t="shared" si="46"/>
        <v/>
      </c>
      <c r="AV217" s="140"/>
      <c r="AW217" s="28" t="str">
        <f t="shared" si="47"/>
        <v/>
      </c>
      <c r="AX217" s="111" t="str">
        <f t="shared" si="48"/>
        <v/>
      </c>
      <c r="AY217" s="111" t="str">
        <f t="shared" si="49"/>
        <v/>
      </c>
      <c r="AZ217" s="141"/>
      <c r="BA217" s="153" t="str">
        <f t="shared" si="50"/>
        <v>Débil</v>
      </c>
      <c r="BB217" s="22" t="str">
        <f>IFERROR(VLOOKUP((CONCATENATE(AY217,BA217)),Listados!$U$3:$V$11,2,FALSE),"")</f>
        <v/>
      </c>
      <c r="BC217" s="111">
        <f t="shared" si="51"/>
        <v>100</v>
      </c>
      <c r="BD217" s="716">
        <f>AVERAGE(BC217:BC222)</f>
        <v>100</v>
      </c>
      <c r="BE217" s="718" t="str">
        <f>IF(BD217&lt;=50, "Débil", IF(BD217&lt;=99,"Moderado","Fuerte"))</f>
        <v>Fuerte</v>
      </c>
      <c r="BF217" s="716">
        <f>+IF(BE217="Fuerte",2,IF(BE217="Moderado",1,0))</f>
        <v>2</v>
      </c>
      <c r="BG217" s="716" t="e">
        <f>+AC217-BF217</f>
        <v>#N/A</v>
      </c>
      <c r="BH217" s="712" t="e">
        <f>+VLOOKUP(BG217,Listados!$J$18:$K$24,2,TRUE)</f>
        <v>#N/A</v>
      </c>
      <c r="BI217" s="714" t="str">
        <f>IF(ISBLANK(AD217),"",AD217)</f>
        <v>Moderado</v>
      </c>
      <c r="BJ217" s="712" t="e">
        <f>IF(AND(BH217&lt;&gt;"",BI217&lt;&gt;""),VLOOKUP(BH217&amp;BI217,Listados!$M$3:$N$27,2,FALSE),"")</f>
        <v>#N/A</v>
      </c>
      <c r="BK217" s="712" t="e">
        <f>+VLOOKUP(BJ217,Listados!$P$3:$Q$6,2,FALSE)</f>
        <v>#N/A</v>
      </c>
      <c r="BL217" s="799"/>
      <c r="BM217" s="800"/>
      <c r="BN217" s="801"/>
      <c r="BO217" s="799"/>
      <c r="BP217" s="800"/>
      <c r="BQ217" s="801"/>
      <c r="BR217" s="799"/>
      <c r="BS217" s="800"/>
      <c r="BT217" s="801"/>
    </row>
    <row r="218" spans="1:72" ht="15" thickBot="1">
      <c r="A218" s="724"/>
      <c r="B218" s="777"/>
      <c r="C218" s="730"/>
      <c r="D218" s="736"/>
      <c r="E218" s="161"/>
      <c r="F218" s="150"/>
      <c r="G218" s="736"/>
      <c r="H218" s="764"/>
      <c r="I218" s="764"/>
      <c r="J218" s="764"/>
      <c r="K218" s="764"/>
      <c r="L218" s="764"/>
      <c r="M218" s="764"/>
      <c r="N218" s="764"/>
      <c r="O218" s="764"/>
      <c r="P218" s="764"/>
      <c r="Q218" s="764"/>
      <c r="R218" s="764"/>
      <c r="S218" s="764"/>
      <c r="T218" s="764"/>
      <c r="U218" s="764"/>
      <c r="V218" s="764"/>
      <c r="W218" s="764"/>
      <c r="X218" s="764"/>
      <c r="Y218" s="764"/>
      <c r="Z218" s="727"/>
      <c r="AA218" s="722"/>
      <c r="AB218" s="727"/>
      <c r="AC218" s="720"/>
      <c r="AD218" s="722" t="str">
        <f>+IF(OR(AB218=1,AB218&lt;=5),"Moderado",IF(OR(AB218=6,AB218&lt;=11),"Mayor","Catastrófico"))</f>
        <v>Moderado</v>
      </c>
      <c r="AE218" s="720"/>
      <c r="AF218" s="715"/>
      <c r="AG218" s="52" t="s">
        <v>467</v>
      </c>
      <c r="AH218" s="145"/>
      <c r="AI218" s="145"/>
      <c r="AJ218" s="145"/>
      <c r="AK218" s="28" t="str">
        <f t="shared" si="41"/>
        <v/>
      </c>
      <c r="AL218" s="145"/>
      <c r="AM218" s="28" t="str">
        <f t="shared" si="42"/>
        <v/>
      </c>
      <c r="AN218" s="140"/>
      <c r="AO218" s="28" t="str">
        <f t="shared" si="43"/>
        <v/>
      </c>
      <c r="AP218" s="140"/>
      <c r="AQ218" s="28" t="str">
        <f t="shared" si="44"/>
        <v/>
      </c>
      <c r="AR218" s="140"/>
      <c r="AS218" s="28" t="str">
        <f t="shared" si="45"/>
        <v/>
      </c>
      <c r="AT218" s="140"/>
      <c r="AU218" s="28" t="str">
        <f t="shared" si="46"/>
        <v/>
      </c>
      <c r="AV218" s="140"/>
      <c r="AW218" s="28" t="str">
        <f t="shared" si="47"/>
        <v/>
      </c>
      <c r="AX218" s="111" t="str">
        <f t="shared" si="48"/>
        <v/>
      </c>
      <c r="AY218" s="111" t="str">
        <f t="shared" si="49"/>
        <v/>
      </c>
      <c r="AZ218" s="141"/>
      <c r="BA218" s="153" t="str">
        <f t="shared" si="50"/>
        <v>Débil</v>
      </c>
      <c r="BB218" s="22" t="str">
        <f>IFERROR(VLOOKUP((CONCATENATE(AY218,BA218)),Listados!$U$3:$V$11,2,FALSE),"")</f>
        <v/>
      </c>
      <c r="BC218" s="111">
        <f t="shared" si="51"/>
        <v>100</v>
      </c>
      <c r="BD218" s="717"/>
      <c r="BE218" s="761"/>
      <c r="BF218" s="717"/>
      <c r="BG218" s="717"/>
      <c r="BH218" s="713"/>
      <c r="BI218" s="715"/>
      <c r="BJ218" s="713"/>
      <c r="BK218" s="713"/>
      <c r="BL218" s="799"/>
      <c r="BM218" s="800"/>
      <c r="BN218" s="801"/>
      <c r="BO218" s="799"/>
      <c r="BP218" s="800"/>
      <c r="BQ218" s="801"/>
      <c r="BR218" s="799"/>
      <c r="BS218" s="800"/>
      <c r="BT218" s="801"/>
    </row>
    <row r="219" spans="1:72" ht="15" thickBot="1">
      <c r="A219" s="724"/>
      <c r="B219" s="777"/>
      <c r="C219" s="730"/>
      <c r="D219" s="736"/>
      <c r="E219" s="161"/>
      <c r="F219" s="150"/>
      <c r="G219" s="736"/>
      <c r="H219" s="764"/>
      <c r="I219" s="764"/>
      <c r="J219" s="764"/>
      <c r="K219" s="764"/>
      <c r="L219" s="764"/>
      <c r="M219" s="764"/>
      <c r="N219" s="764"/>
      <c r="O219" s="764"/>
      <c r="P219" s="764"/>
      <c r="Q219" s="764"/>
      <c r="R219" s="764"/>
      <c r="S219" s="764"/>
      <c r="T219" s="764"/>
      <c r="U219" s="764"/>
      <c r="V219" s="764"/>
      <c r="W219" s="764"/>
      <c r="X219" s="764"/>
      <c r="Y219" s="764"/>
      <c r="Z219" s="727"/>
      <c r="AA219" s="722"/>
      <c r="AB219" s="727"/>
      <c r="AC219" s="720"/>
      <c r="AD219" s="722" t="str">
        <f>+IF(OR(AB219=1,AB219&lt;=5),"Moderado",IF(OR(AB219=6,AB219&lt;=11),"Mayor","Catastrófico"))</f>
        <v>Moderado</v>
      </c>
      <c r="AE219" s="720"/>
      <c r="AF219" s="715"/>
      <c r="AG219" s="52" t="s">
        <v>467</v>
      </c>
      <c r="AH219" s="145"/>
      <c r="AI219" s="145"/>
      <c r="AJ219" s="145"/>
      <c r="AK219" s="28" t="str">
        <f t="shared" si="41"/>
        <v/>
      </c>
      <c r="AL219" s="145"/>
      <c r="AM219" s="28" t="str">
        <f t="shared" si="42"/>
        <v/>
      </c>
      <c r="AN219" s="140"/>
      <c r="AO219" s="28" t="str">
        <f t="shared" si="43"/>
        <v/>
      </c>
      <c r="AP219" s="140"/>
      <c r="AQ219" s="28" t="str">
        <f t="shared" si="44"/>
        <v/>
      </c>
      <c r="AR219" s="140"/>
      <c r="AS219" s="28" t="str">
        <f t="shared" si="45"/>
        <v/>
      </c>
      <c r="AT219" s="140"/>
      <c r="AU219" s="28" t="str">
        <f t="shared" si="46"/>
        <v/>
      </c>
      <c r="AV219" s="140"/>
      <c r="AW219" s="28" t="str">
        <f t="shared" si="47"/>
        <v/>
      </c>
      <c r="AX219" s="111" t="str">
        <f t="shared" si="48"/>
        <v/>
      </c>
      <c r="AY219" s="111" t="str">
        <f t="shared" si="49"/>
        <v/>
      </c>
      <c r="AZ219" s="141"/>
      <c r="BA219" s="153" t="str">
        <f t="shared" si="50"/>
        <v>Débil</v>
      </c>
      <c r="BB219" s="22" t="str">
        <f>IFERROR(VLOOKUP((CONCATENATE(AY219,BA219)),Listados!$U$3:$V$11,2,FALSE),"")</f>
        <v/>
      </c>
      <c r="BC219" s="111">
        <f t="shared" si="51"/>
        <v>100</v>
      </c>
      <c r="BD219" s="717"/>
      <c r="BE219" s="761"/>
      <c r="BF219" s="717"/>
      <c r="BG219" s="717"/>
      <c r="BH219" s="713"/>
      <c r="BI219" s="715"/>
      <c r="BJ219" s="713"/>
      <c r="BK219" s="713"/>
      <c r="BL219" s="799"/>
      <c r="BM219" s="800"/>
      <c r="BN219" s="801"/>
      <c r="BO219" s="799"/>
      <c r="BP219" s="800"/>
      <c r="BQ219" s="801"/>
      <c r="BR219" s="799"/>
      <c r="BS219" s="800"/>
      <c r="BT219" s="801"/>
    </row>
    <row r="220" spans="1:72" ht="15" thickBot="1">
      <c r="A220" s="724"/>
      <c r="B220" s="777"/>
      <c r="C220" s="730"/>
      <c r="D220" s="736"/>
      <c r="E220" s="755"/>
      <c r="F220" s="769"/>
      <c r="G220" s="736"/>
      <c r="H220" s="764"/>
      <c r="I220" s="764"/>
      <c r="J220" s="764"/>
      <c r="K220" s="764"/>
      <c r="L220" s="764"/>
      <c r="M220" s="764"/>
      <c r="N220" s="764"/>
      <c r="O220" s="764"/>
      <c r="P220" s="764"/>
      <c r="Q220" s="764"/>
      <c r="R220" s="764"/>
      <c r="S220" s="764"/>
      <c r="T220" s="764"/>
      <c r="U220" s="764"/>
      <c r="V220" s="764"/>
      <c r="W220" s="764"/>
      <c r="X220" s="764"/>
      <c r="Y220" s="764"/>
      <c r="Z220" s="727"/>
      <c r="AA220" s="722"/>
      <c r="AB220" s="727"/>
      <c r="AC220" s="720"/>
      <c r="AD220" s="722" t="str">
        <f>+IF(OR(AB220=1,AB220&lt;=5),"Moderado",IF(OR(AB220=6,AB220&lt;=11),"Mayor","Catastrófico"))</f>
        <v>Moderado</v>
      </c>
      <c r="AE220" s="720"/>
      <c r="AF220" s="715"/>
      <c r="AG220" s="52" t="s">
        <v>467</v>
      </c>
      <c r="AH220" s="145"/>
      <c r="AI220" s="145"/>
      <c r="AJ220" s="145"/>
      <c r="AK220" s="28" t="str">
        <f t="shared" si="41"/>
        <v/>
      </c>
      <c r="AL220" s="145"/>
      <c r="AM220" s="28" t="str">
        <f t="shared" si="42"/>
        <v/>
      </c>
      <c r="AN220" s="140"/>
      <c r="AO220" s="28" t="str">
        <f t="shared" si="43"/>
        <v/>
      </c>
      <c r="AP220" s="140"/>
      <c r="AQ220" s="28" t="str">
        <f t="shared" si="44"/>
        <v/>
      </c>
      <c r="AR220" s="140"/>
      <c r="AS220" s="28" t="str">
        <f t="shared" si="45"/>
        <v/>
      </c>
      <c r="AT220" s="140"/>
      <c r="AU220" s="28" t="str">
        <f t="shared" si="46"/>
        <v/>
      </c>
      <c r="AV220" s="140"/>
      <c r="AW220" s="28" t="str">
        <f t="shared" si="47"/>
        <v/>
      </c>
      <c r="AX220" s="111" t="str">
        <f t="shared" si="48"/>
        <v/>
      </c>
      <c r="AY220" s="111" t="str">
        <f t="shared" si="49"/>
        <v/>
      </c>
      <c r="AZ220" s="141"/>
      <c r="BA220" s="153" t="str">
        <f t="shared" si="50"/>
        <v>Débil</v>
      </c>
      <c r="BB220" s="22" t="str">
        <f>IFERROR(VLOOKUP((CONCATENATE(AY220,BA220)),Listados!$U$3:$V$11,2,FALSE),"")</f>
        <v/>
      </c>
      <c r="BC220" s="111">
        <f t="shared" si="51"/>
        <v>100</v>
      </c>
      <c r="BD220" s="717"/>
      <c r="BE220" s="761"/>
      <c r="BF220" s="717"/>
      <c r="BG220" s="717"/>
      <c r="BH220" s="713"/>
      <c r="BI220" s="715"/>
      <c r="BJ220" s="713"/>
      <c r="BK220" s="713"/>
      <c r="BL220" s="799"/>
      <c r="BM220" s="800"/>
      <c r="BN220" s="801"/>
      <c r="BO220" s="799"/>
      <c r="BP220" s="800"/>
      <c r="BQ220" s="801"/>
      <c r="BR220" s="799"/>
      <c r="BS220" s="800"/>
      <c r="BT220" s="801"/>
    </row>
    <row r="221" spans="1:72" ht="15" thickBot="1">
      <c r="A221" s="724"/>
      <c r="B221" s="777"/>
      <c r="C221" s="730"/>
      <c r="D221" s="736"/>
      <c r="E221" s="756"/>
      <c r="F221" s="770"/>
      <c r="G221" s="736"/>
      <c r="H221" s="764"/>
      <c r="I221" s="764"/>
      <c r="J221" s="764"/>
      <c r="K221" s="764"/>
      <c r="L221" s="764"/>
      <c r="M221" s="764"/>
      <c r="N221" s="764"/>
      <c r="O221" s="764"/>
      <c r="P221" s="764"/>
      <c r="Q221" s="764"/>
      <c r="R221" s="764"/>
      <c r="S221" s="764"/>
      <c r="T221" s="764"/>
      <c r="U221" s="764"/>
      <c r="V221" s="764"/>
      <c r="W221" s="764"/>
      <c r="X221" s="764"/>
      <c r="Y221" s="764"/>
      <c r="Z221" s="727"/>
      <c r="AA221" s="722"/>
      <c r="AB221" s="727"/>
      <c r="AC221" s="720"/>
      <c r="AD221" s="722" t="str">
        <f>+IF(OR(AB221=1,AB221&lt;=5),"Moderado",IF(OR(AB221=6,AB221&lt;=11),"Mayor","Catastrófico"))</f>
        <v>Moderado</v>
      </c>
      <c r="AE221" s="720"/>
      <c r="AF221" s="715"/>
      <c r="AG221" s="52" t="s">
        <v>467</v>
      </c>
      <c r="AH221" s="145"/>
      <c r="AI221" s="145"/>
      <c r="AJ221" s="145"/>
      <c r="AK221" s="28" t="str">
        <f t="shared" si="41"/>
        <v/>
      </c>
      <c r="AL221" s="145"/>
      <c r="AM221" s="28" t="str">
        <f t="shared" si="42"/>
        <v/>
      </c>
      <c r="AN221" s="140"/>
      <c r="AO221" s="28" t="str">
        <f t="shared" si="43"/>
        <v/>
      </c>
      <c r="AP221" s="140"/>
      <c r="AQ221" s="28" t="str">
        <f t="shared" si="44"/>
        <v/>
      </c>
      <c r="AR221" s="140"/>
      <c r="AS221" s="28" t="str">
        <f t="shared" si="45"/>
        <v/>
      </c>
      <c r="AT221" s="140"/>
      <c r="AU221" s="28" t="str">
        <f t="shared" si="46"/>
        <v/>
      </c>
      <c r="AV221" s="140"/>
      <c r="AW221" s="28" t="str">
        <f t="shared" si="47"/>
        <v/>
      </c>
      <c r="AX221" s="111" t="str">
        <f t="shared" si="48"/>
        <v/>
      </c>
      <c r="AY221" s="111" t="str">
        <f t="shared" si="49"/>
        <v/>
      </c>
      <c r="AZ221" s="141"/>
      <c r="BA221" s="153" t="str">
        <f t="shared" si="50"/>
        <v>Débil</v>
      </c>
      <c r="BB221" s="22" t="str">
        <f>IFERROR(VLOOKUP((CONCATENATE(AY221,BA221)),Listados!$U$3:$V$11,2,FALSE),"")</f>
        <v/>
      </c>
      <c r="BC221" s="111">
        <f t="shared" si="51"/>
        <v>100</v>
      </c>
      <c r="BD221" s="717"/>
      <c r="BE221" s="761"/>
      <c r="BF221" s="717"/>
      <c r="BG221" s="717"/>
      <c r="BH221" s="713"/>
      <c r="BI221" s="715"/>
      <c r="BJ221" s="713"/>
      <c r="BK221" s="713"/>
      <c r="BL221" s="799"/>
      <c r="BM221" s="800"/>
      <c r="BN221" s="801"/>
      <c r="BO221" s="799"/>
      <c r="BP221" s="800"/>
      <c r="BQ221" s="801"/>
      <c r="BR221" s="799"/>
      <c r="BS221" s="800"/>
      <c r="BT221" s="801"/>
    </row>
    <row r="222" spans="1:72" ht="15" thickBot="1">
      <c r="A222" s="725"/>
      <c r="B222" s="777"/>
      <c r="C222" s="731"/>
      <c r="D222" s="781"/>
      <c r="E222" s="757"/>
      <c r="F222" s="771"/>
      <c r="G222" s="736"/>
      <c r="H222" s="764"/>
      <c r="I222" s="764"/>
      <c r="J222" s="764"/>
      <c r="K222" s="764"/>
      <c r="L222" s="764"/>
      <c r="M222" s="764"/>
      <c r="N222" s="764"/>
      <c r="O222" s="764"/>
      <c r="P222" s="764"/>
      <c r="Q222" s="764"/>
      <c r="R222" s="764"/>
      <c r="S222" s="764"/>
      <c r="T222" s="764"/>
      <c r="U222" s="764"/>
      <c r="V222" s="764"/>
      <c r="W222" s="764"/>
      <c r="X222" s="764"/>
      <c r="Y222" s="764"/>
      <c r="Z222" s="727"/>
      <c r="AA222" s="722"/>
      <c r="AB222" s="727"/>
      <c r="AC222" s="721"/>
      <c r="AD222" s="722" t="str">
        <f>+IF(OR(AB222=1,AB222&lt;=5),"Moderado",IF(OR(AB222=6,AB222&lt;=11),"Mayor","Catastrófico"))</f>
        <v>Moderado</v>
      </c>
      <c r="AE222" s="721"/>
      <c r="AF222" s="715"/>
      <c r="AG222" s="52" t="s">
        <v>467</v>
      </c>
      <c r="AH222" s="145"/>
      <c r="AI222" s="145"/>
      <c r="AJ222" s="145"/>
      <c r="AK222" s="28" t="str">
        <f t="shared" si="41"/>
        <v/>
      </c>
      <c r="AL222" s="145"/>
      <c r="AM222" s="28" t="str">
        <f t="shared" si="42"/>
        <v/>
      </c>
      <c r="AN222" s="140"/>
      <c r="AO222" s="28" t="str">
        <f t="shared" si="43"/>
        <v/>
      </c>
      <c r="AP222" s="140"/>
      <c r="AQ222" s="28" t="str">
        <f t="shared" si="44"/>
        <v/>
      </c>
      <c r="AR222" s="140"/>
      <c r="AS222" s="28" t="str">
        <f t="shared" si="45"/>
        <v/>
      </c>
      <c r="AT222" s="140"/>
      <c r="AU222" s="28" t="str">
        <f t="shared" si="46"/>
        <v/>
      </c>
      <c r="AV222" s="140"/>
      <c r="AW222" s="28" t="str">
        <f t="shared" si="47"/>
        <v/>
      </c>
      <c r="AX222" s="111" t="str">
        <f t="shared" si="48"/>
        <v/>
      </c>
      <c r="AY222" s="111" t="str">
        <f t="shared" si="49"/>
        <v/>
      </c>
      <c r="AZ222" s="141"/>
      <c r="BA222" s="153" t="str">
        <f t="shared" si="50"/>
        <v>Débil</v>
      </c>
      <c r="BB222" s="22" t="str">
        <f>IFERROR(VLOOKUP((CONCATENATE(AY222,BA222)),Listados!$U$3:$V$11,2,FALSE),"")</f>
        <v/>
      </c>
      <c r="BC222" s="111">
        <f t="shared" si="51"/>
        <v>100</v>
      </c>
      <c r="BD222" s="718"/>
      <c r="BE222" s="761"/>
      <c r="BF222" s="718"/>
      <c r="BG222" s="718"/>
      <c r="BH222" s="714"/>
      <c r="BI222" s="715"/>
      <c r="BJ222" s="714"/>
      <c r="BK222" s="714"/>
      <c r="BL222" s="799"/>
      <c r="BM222" s="800"/>
      <c r="BN222" s="801"/>
      <c r="BO222" s="799"/>
      <c r="BP222" s="800"/>
      <c r="BQ222" s="801"/>
      <c r="BR222" s="799"/>
      <c r="BS222" s="800"/>
      <c r="BT222" s="801"/>
    </row>
    <row r="223" spans="1:72" ht="15" thickBot="1">
      <c r="A223" s="723">
        <v>37</v>
      </c>
      <c r="B223" s="776"/>
      <c r="C223" s="729" t="str">
        <f>IFERROR(VLOOKUP(B223,Listados!B$3:C$20,2,FALSE),"")</f>
        <v/>
      </c>
      <c r="D223" s="735" t="s">
        <v>584</v>
      </c>
      <c r="E223" s="105"/>
      <c r="F223" s="18"/>
      <c r="G223" s="735"/>
      <c r="H223" s="763"/>
      <c r="I223" s="763"/>
      <c r="J223" s="763"/>
      <c r="K223" s="763"/>
      <c r="L223" s="763"/>
      <c r="M223" s="763"/>
      <c r="N223" s="763"/>
      <c r="O223" s="763"/>
      <c r="P223" s="763"/>
      <c r="Q223" s="763"/>
      <c r="R223" s="763"/>
      <c r="S223" s="763"/>
      <c r="T223" s="763"/>
      <c r="U223" s="763"/>
      <c r="V223" s="763"/>
      <c r="W223" s="763"/>
      <c r="X223" s="763"/>
      <c r="Y223" s="763"/>
      <c r="Z223" s="762"/>
      <c r="AA223" s="721">
        <f>COUNTIF(H223:Z228, "SI")</f>
        <v>0</v>
      </c>
      <c r="AB223" s="762"/>
      <c r="AC223" s="719" t="e">
        <f>+VLOOKUP(AB223,Listados!$K$8:$L$12,2,0)</f>
        <v>#N/A</v>
      </c>
      <c r="AD223" s="721" t="str">
        <f>+IF(OR(AA223=1,AA223&lt;=5),"Moderado",IF(OR(AA223=6,AA223&lt;=11),"Mayor","Catastrófico"))</f>
        <v>Moderado</v>
      </c>
      <c r="AE223" s="719" t="e">
        <f>+VLOOKUP(AD223,Listados!K229:L233,2,0)</f>
        <v>#N/A</v>
      </c>
      <c r="AF223" s="714" t="str">
        <f>IF(AND(AB223&lt;&gt;"",AD223&lt;&gt;""),VLOOKUP(AB223&amp;AD223,Listados!$M$3:$N$27,2,FALSE),"")</f>
        <v/>
      </c>
      <c r="AG223" s="52" t="s">
        <v>467</v>
      </c>
      <c r="AH223" s="145"/>
      <c r="AI223" s="145"/>
      <c r="AJ223" s="145"/>
      <c r="AK223" s="28" t="str">
        <f t="shared" si="41"/>
        <v/>
      </c>
      <c r="AL223" s="145"/>
      <c r="AM223" s="28" t="str">
        <f t="shared" si="42"/>
        <v/>
      </c>
      <c r="AN223" s="140"/>
      <c r="AO223" s="28" t="str">
        <f t="shared" si="43"/>
        <v/>
      </c>
      <c r="AP223" s="140"/>
      <c r="AQ223" s="28" t="str">
        <f t="shared" si="44"/>
        <v/>
      </c>
      <c r="AR223" s="140"/>
      <c r="AS223" s="28" t="str">
        <f t="shared" si="45"/>
        <v/>
      </c>
      <c r="AT223" s="140"/>
      <c r="AU223" s="28" t="str">
        <f t="shared" si="46"/>
        <v/>
      </c>
      <c r="AV223" s="140"/>
      <c r="AW223" s="28" t="str">
        <f t="shared" si="47"/>
        <v/>
      </c>
      <c r="AX223" s="111" t="str">
        <f t="shared" si="48"/>
        <v/>
      </c>
      <c r="AY223" s="111" t="str">
        <f t="shared" si="49"/>
        <v/>
      </c>
      <c r="AZ223" s="141"/>
      <c r="BA223" s="153" t="str">
        <f t="shared" si="50"/>
        <v>Débil</v>
      </c>
      <c r="BB223" s="22" t="str">
        <f>IFERROR(VLOOKUP((CONCATENATE(AY223,BA223)),Listados!$U$3:$V$11,2,FALSE),"")</f>
        <v/>
      </c>
      <c r="BC223" s="111">
        <f t="shared" si="51"/>
        <v>100</v>
      </c>
      <c r="BD223" s="716">
        <f>AVERAGE(BC223:BC228)</f>
        <v>100</v>
      </c>
      <c r="BE223" s="718" t="str">
        <f>IF(BD223&lt;=50, "Débil", IF(BD223&lt;=99,"Moderado","Fuerte"))</f>
        <v>Fuerte</v>
      </c>
      <c r="BF223" s="716">
        <f>+IF(BE223="Fuerte",2,IF(BE223="Moderado",1,0))</f>
        <v>2</v>
      </c>
      <c r="BG223" s="716" t="e">
        <f>+AC223-BF223</f>
        <v>#N/A</v>
      </c>
      <c r="BH223" s="712" t="e">
        <f>+VLOOKUP(BG223,Listados!$J$18:$K$24,2,TRUE)</f>
        <v>#N/A</v>
      </c>
      <c r="BI223" s="714" t="str">
        <f>IF(ISBLANK(AD223),"",AD223)</f>
        <v>Moderado</v>
      </c>
      <c r="BJ223" s="712" t="e">
        <f>IF(AND(BH223&lt;&gt;"",BI223&lt;&gt;""),VLOOKUP(BH223&amp;BI223,Listados!$M$3:$N$27,2,FALSE),"")</f>
        <v>#N/A</v>
      </c>
      <c r="BK223" s="712" t="e">
        <f>+VLOOKUP(BJ223,Listados!$P$3:$Q$6,2,FALSE)</f>
        <v>#N/A</v>
      </c>
      <c r="BL223" s="799"/>
      <c r="BM223" s="800"/>
      <c r="BN223" s="801"/>
      <c r="BO223" s="799"/>
      <c r="BP223" s="800"/>
      <c r="BQ223" s="801"/>
      <c r="BR223" s="799"/>
      <c r="BS223" s="800"/>
      <c r="BT223" s="801"/>
    </row>
    <row r="224" spans="1:72" ht="15" thickBot="1">
      <c r="A224" s="724"/>
      <c r="B224" s="777"/>
      <c r="C224" s="730"/>
      <c r="D224" s="736"/>
      <c r="E224" s="161"/>
      <c r="F224" s="150"/>
      <c r="G224" s="736"/>
      <c r="H224" s="764"/>
      <c r="I224" s="764"/>
      <c r="J224" s="764"/>
      <c r="K224" s="764"/>
      <c r="L224" s="764"/>
      <c r="M224" s="764"/>
      <c r="N224" s="764"/>
      <c r="O224" s="764"/>
      <c r="P224" s="764"/>
      <c r="Q224" s="764"/>
      <c r="R224" s="764"/>
      <c r="S224" s="764"/>
      <c r="T224" s="764"/>
      <c r="U224" s="764"/>
      <c r="V224" s="764"/>
      <c r="W224" s="764"/>
      <c r="X224" s="764"/>
      <c r="Y224" s="764"/>
      <c r="Z224" s="727"/>
      <c r="AA224" s="722"/>
      <c r="AB224" s="727"/>
      <c r="AC224" s="720"/>
      <c r="AD224" s="722" t="str">
        <f>+IF(OR(AB224=1,AB224&lt;=5),"Moderado",IF(OR(AB224=6,AB224&lt;=11),"Mayor","Catastrófico"))</f>
        <v>Moderado</v>
      </c>
      <c r="AE224" s="720"/>
      <c r="AF224" s="715"/>
      <c r="AG224" s="52" t="s">
        <v>467</v>
      </c>
      <c r="AH224" s="145"/>
      <c r="AI224" s="145"/>
      <c r="AJ224" s="145"/>
      <c r="AK224" s="28" t="str">
        <f t="shared" si="41"/>
        <v/>
      </c>
      <c r="AL224" s="145"/>
      <c r="AM224" s="28" t="str">
        <f t="shared" si="42"/>
        <v/>
      </c>
      <c r="AN224" s="140"/>
      <c r="AO224" s="28" t="str">
        <f t="shared" si="43"/>
        <v/>
      </c>
      <c r="AP224" s="140"/>
      <c r="AQ224" s="28" t="str">
        <f t="shared" si="44"/>
        <v/>
      </c>
      <c r="AR224" s="140"/>
      <c r="AS224" s="28" t="str">
        <f t="shared" si="45"/>
        <v/>
      </c>
      <c r="AT224" s="140"/>
      <c r="AU224" s="28" t="str">
        <f t="shared" si="46"/>
        <v/>
      </c>
      <c r="AV224" s="140"/>
      <c r="AW224" s="28" t="str">
        <f t="shared" si="47"/>
        <v/>
      </c>
      <c r="AX224" s="111" t="str">
        <f t="shared" si="48"/>
        <v/>
      </c>
      <c r="AY224" s="111" t="str">
        <f t="shared" si="49"/>
        <v/>
      </c>
      <c r="AZ224" s="141"/>
      <c r="BA224" s="153" t="str">
        <f t="shared" si="50"/>
        <v>Débil</v>
      </c>
      <c r="BB224" s="22" t="str">
        <f>IFERROR(VLOOKUP((CONCATENATE(AY224,BA224)),Listados!$U$3:$V$11,2,FALSE),"")</f>
        <v/>
      </c>
      <c r="BC224" s="111">
        <f t="shared" si="51"/>
        <v>100</v>
      </c>
      <c r="BD224" s="717"/>
      <c r="BE224" s="761"/>
      <c r="BF224" s="717"/>
      <c r="BG224" s="717"/>
      <c r="BH224" s="713"/>
      <c r="BI224" s="715"/>
      <c r="BJ224" s="713"/>
      <c r="BK224" s="713"/>
      <c r="BL224" s="799"/>
      <c r="BM224" s="800"/>
      <c r="BN224" s="801"/>
      <c r="BO224" s="799"/>
      <c r="BP224" s="800"/>
      <c r="BQ224" s="801"/>
      <c r="BR224" s="799"/>
      <c r="BS224" s="800"/>
      <c r="BT224" s="801"/>
    </row>
    <row r="225" spans="1:72" ht="15" thickBot="1">
      <c r="A225" s="724"/>
      <c r="B225" s="777"/>
      <c r="C225" s="730"/>
      <c r="D225" s="736"/>
      <c r="E225" s="161"/>
      <c r="F225" s="150"/>
      <c r="G225" s="736"/>
      <c r="H225" s="764"/>
      <c r="I225" s="764"/>
      <c r="J225" s="764"/>
      <c r="K225" s="764"/>
      <c r="L225" s="764"/>
      <c r="M225" s="764"/>
      <c r="N225" s="764"/>
      <c r="O225" s="764"/>
      <c r="P225" s="764"/>
      <c r="Q225" s="764"/>
      <c r="R225" s="764"/>
      <c r="S225" s="764"/>
      <c r="T225" s="764"/>
      <c r="U225" s="764"/>
      <c r="V225" s="764"/>
      <c r="W225" s="764"/>
      <c r="X225" s="764"/>
      <c r="Y225" s="764"/>
      <c r="Z225" s="727"/>
      <c r="AA225" s="722"/>
      <c r="AB225" s="727"/>
      <c r="AC225" s="720"/>
      <c r="AD225" s="722" t="str">
        <f>+IF(OR(AB225=1,AB225&lt;=5),"Moderado",IF(OR(AB225=6,AB225&lt;=11),"Mayor","Catastrófico"))</f>
        <v>Moderado</v>
      </c>
      <c r="AE225" s="720"/>
      <c r="AF225" s="715"/>
      <c r="AG225" s="52" t="s">
        <v>467</v>
      </c>
      <c r="AH225" s="145"/>
      <c r="AI225" s="145"/>
      <c r="AJ225" s="145"/>
      <c r="AK225" s="28" t="str">
        <f t="shared" si="41"/>
        <v/>
      </c>
      <c r="AL225" s="145"/>
      <c r="AM225" s="28" t="str">
        <f t="shared" si="42"/>
        <v/>
      </c>
      <c r="AN225" s="140"/>
      <c r="AO225" s="28" t="str">
        <f t="shared" si="43"/>
        <v/>
      </c>
      <c r="AP225" s="140"/>
      <c r="AQ225" s="28" t="str">
        <f t="shared" si="44"/>
        <v/>
      </c>
      <c r="AR225" s="140"/>
      <c r="AS225" s="28" t="str">
        <f t="shared" si="45"/>
        <v/>
      </c>
      <c r="AT225" s="140"/>
      <c r="AU225" s="28" t="str">
        <f t="shared" si="46"/>
        <v/>
      </c>
      <c r="AV225" s="140"/>
      <c r="AW225" s="28" t="str">
        <f t="shared" si="47"/>
        <v/>
      </c>
      <c r="AX225" s="111" t="str">
        <f t="shared" si="48"/>
        <v/>
      </c>
      <c r="AY225" s="111" t="str">
        <f t="shared" si="49"/>
        <v/>
      </c>
      <c r="AZ225" s="141"/>
      <c r="BA225" s="153" t="str">
        <f t="shared" si="50"/>
        <v>Débil</v>
      </c>
      <c r="BB225" s="22" t="str">
        <f>IFERROR(VLOOKUP((CONCATENATE(AY225,BA225)),Listados!$U$3:$V$11,2,FALSE),"")</f>
        <v/>
      </c>
      <c r="BC225" s="111">
        <f t="shared" si="51"/>
        <v>100</v>
      </c>
      <c r="BD225" s="717"/>
      <c r="BE225" s="761"/>
      <c r="BF225" s="717"/>
      <c r="BG225" s="717"/>
      <c r="BH225" s="713"/>
      <c r="BI225" s="715"/>
      <c r="BJ225" s="713"/>
      <c r="BK225" s="713"/>
      <c r="BL225" s="799"/>
      <c r="BM225" s="800"/>
      <c r="BN225" s="801"/>
      <c r="BO225" s="799"/>
      <c r="BP225" s="800"/>
      <c r="BQ225" s="801"/>
      <c r="BR225" s="799"/>
      <c r="BS225" s="800"/>
      <c r="BT225" s="801"/>
    </row>
    <row r="226" spans="1:72" ht="15" thickBot="1">
      <c r="A226" s="724"/>
      <c r="B226" s="777"/>
      <c r="C226" s="730"/>
      <c r="D226" s="736"/>
      <c r="E226" s="755"/>
      <c r="F226" s="769"/>
      <c r="G226" s="736"/>
      <c r="H226" s="764"/>
      <c r="I226" s="764"/>
      <c r="J226" s="764"/>
      <c r="K226" s="764"/>
      <c r="L226" s="764"/>
      <c r="M226" s="764"/>
      <c r="N226" s="764"/>
      <c r="O226" s="764"/>
      <c r="P226" s="764"/>
      <c r="Q226" s="764"/>
      <c r="R226" s="764"/>
      <c r="S226" s="764"/>
      <c r="T226" s="764"/>
      <c r="U226" s="764"/>
      <c r="V226" s="764"/>
      <c r="W226" s="764"/>
      <c r="X226" s="764"/>
      <c r="Y226" s="764"/>
      <c r="Z226" s="727"/>
      <c r="AA226" s="722"/>
      <c r="AB226" s="727"/>
      <c r="AC226" s="720"/>
      <c r="AD226" s="722" t="str">
        <f>+IF(OR(AB226=1,AB226&lt;=5),"Moderado",IF(OR(AB226=6,AB226&lt;=11),"Mayor","Catastrófico"))</f>
        <v>Moderado</v>
      </c>
      <c r="AE226" s="720"/>
      <c r="AF226" s="715"/>
      <c r="AG226" s="52" t="s">
        <v>467</v>
      </c>
      <c r="AH226" s="145"/>
      <c r="AI226" s="145"/>
      <c r="AJ226" s="145"/>
      <c r="AK226" s="28" t="str">
        <f t="shared" si="41"/>
        <v/>
      </c>
      <c r="AL226" s="145"/>
      <c r="AM226" s="28" t="str">
        <f t="shared" si="42"/>
        <v/>
      </c>
      <c r="AN226" s="140"/>
      <c r="AO226" s="28" t="str">
        <f t="shared" si="43"/>
        <v/>
      </c>
      <c r="AP226" s="140"/>
      <c r="AQ226" s="28" t="str">
        <f t="shared" si="44"/>
        <v/>
      </c>
      <c r="AR226" s="140"/>
      <c r="AS226" s="28" t="str">
        <f t="shared" si="45"/>
        <v/>
      </c>
      <c r="AT226" s="140"/>
      <c r="AU226" s="28" t="str">
        <f t="shared" si="46"/>
        <v/>
      </c>
      <c r="AV226" s="140"/>
      <c r="AW226" s="28" t="str">
        <f t="shared" si="47"/>
        <v/>
      </c>
      <c r="AX226" s="111" t="str">
        <f t="shared" si="48"/>
        <v/>
      </c>
      <c r="AY226" s="111" t="str">
        <f t="shared" si="49"/>
        <v/>
      </c>
      <c r="AZ226" s="141"/>
      <c r="BA226" s="153" t="str">
        <f t="shared" si="50"/>
        <v>Débil</v>
      </c>
      <c r="BB226" s="22" t="str">
        <f>IFERROR(VLOOKUP((CONCATENATE(AY226,BA226)),Listados!$U$3:$V$11,2,FALSE),"")</f>
        <v/>
      </c>
      <c r="BC226" s="111">
        <f t="shared" si="51"/>
        <v>100</v>
      </c>
      <c r="BD226" s="717"/>
      <c r="BE226" s="761"/>
      <c r="BF226" s="717"/>
      <c r="BG226" s="717"/>
      <c r="BH226" s="713"/>
      <c r="BI226" s="715"/>
      <c r="BJ226" s="713"/>
      <c r="BK226" s="713"/>
      <c r="BL226" s="799"/>
      <c r="BM226" s="800"/>
      <c r="BN226" s="801"/>
      <c r="BO226" s="799"/>
      <c r="BP226" s="800"/>
      <c r="BQ226" s="801"/>
      <c r="BR226" s="799"/>
      <c r="BS226" s="800"/>
      <c r="BT226" s="801"/>
    </row>
    <row r="227" spans="1:72" ht="15" thickBot="1">
      <c r="A227" s="724"/>
      <c r="B227" s="777"/>
      <c r="C227" s="730"/>
      <c r="D227" s="736"/>
      <c r="E227" s="756"/>
      <c r="F227" s="770"/>
      <c r="G227" s="736"/>
      <c r="H227" s="764"/>
      <c r="I227" s="764"/>
      <c r="J227" s="764"/>
      <c r="K227" s="764"/>
      <c r="L227" s="764"/>
      <c r="M227" s="764"/>
      <c r="N227" s="764"/>
      <c r="O227" s="764"/>
      <c r="P227" s="764"/>
      <c r="Q227" s="764"/>
      <c r="R227" s="764"/>
      <c r="S227" s="764"/>
      <c r="T227" s="764"/>
      <c r="U227" s="764"/>
      <c r="V227" s="764"/>
      <c r="W227" s="764"/>
      <c r="X227" s="764"/>
      <c r="Y227" s="764"/>
      <c r="Z227" s="727"/>
      <c r="AA227" s="722"/>
      <c r="AB227" s="727"/>
      <c r="AC227" s="720"/>
      <c r="AD227" s="722" t="str">
        <f>+IF(OR(AB227=1,AB227&lt;=5),"Moderado",IF(OR(AB227=6,AB227&lt;=11),"Mayor","Catastrófico"))</f>
        <v>Moderado</v>
      </c>
      <c r="AE227" s="720"/>
      <c r="AF227" s="715"/>
      <c r="AG227" s="52" t="s">
        <v>467</v>
      </c>
      <c r="AH227" s="145"/>
      <c r="AI227" s="145"/>
      <c r="AJ227" s="145"/>
      <c r="AK227" s="28" t="str">
        <f t="shared" si="41"/>
        <v/>
      </c>
      <c r="AL227" s="145"/>
      <c r="AM227" s="28" t="str">
        <f t="shared" si="42"/>
        <v/>
      </c>
      <c r="AN227" s="140"/>
      <c r="AO227" s="28" t="str">
        <f t="shared" si="43"/>
        <v/>
      </c>
      <c r="AP227" s="140"/>
      <c r="AQ227" s="28" t="str">
        <f t="shared" si="44"/>
        <v/>
      </c>
      <c r="AR227" s="140"/>
      <c r="AS227" s="28" t="str">
        <f t="shared" si="45"/>
        <v/>
      </c>
      <c r="AT227" s="140"/>
      <c r="AU227" s="28" t="str">
        <f t="shared" si="46"/>
        <v/>
      </c>
      <c r="AV227" s="140"/>
      <c r="AW227" s="28" t="str">
        <f t="shared" si="47"/>
        <v/>
      </c>
      <c r="AX227" s="111" t="str">
        <f t="shared" si="48"/>
        <v/>
      </c>
      <c r="AY227" s="111" t="str">
        <f t="shared" si="49"/>
        <v/>
      </c>
      <c r="AZ227" s="141"/>
      <c r="BA227" s="153" t="str">
        <f t="shared" si="50"/>
        <v>Débil</v>
      </c>
      <c r="BB227" s="22" t="str">
        <f>IFERROR(VLOOKUP((CONCATENATE(AY227,BA227)),Listados!$U$3:$V$11,2,FALSE),"")</f>
        <v/>
      </c>
      <c r="BC227" s="111">
        <f t="shared" si="51"/>
        <v>100</v>
      </c>
      <c r="BD227" s="717"/>
      <c r="BE227" s="761"/>
      <c r="BF227" s="717"/>
      <c r="BG227" s="717"/>
      <c r="BH227" s="713"/>
      <c r="BI227" s="715"/>
      <c r="BJ227" s="713"/>
      <c r="BK227" s="713"/>
      <c r="BL227" s="799"/>
      <c r="BM227" s="800"/>
      <c r="BN227" s="801"/>
      <c r="BO227" s="799"/>
      <c r="BP227" s="800"/>
      <c r="BQ227" s="801"/>
      <c r="BR227" s="799"/>
      <c r="BS227" s="800"/>
      <c r="BT227" s="801"/>
    </row>
    <row r="228" spans="1:72" ht="15" thickBot="1">
      <c r="A228" s="725"/>
      <c r="B228" s="777"/>
      <c r="C228" s="731"/>
      <c r="D228" s="781"/>
      <c r="E228" s="757"/>
      <c r="F228" s="771"/>
      <c r="G228" s="736"/>
      <c r="H228" s="764"/>
      <c r="I228" s="764"/>
      <c r="J228" s="764"/>
      <c r="K228" s="764"/>
      <c r="L228" s="764"/>
      <c r="M228" s="764"/>
      <c r="N228" s="764"/>
      <c r="O228" s="764"/>
      <c r="P228" s="764"/>
      <c r="Q228" s="764"/>
      <c r="R228" s="764"/>
      <c r="S228" s="764"/>
      <c r="T228" s="764"/>
      <c r="U228" s="764"/>
      <c r="V228" s="764"/>
      <c r="W228" s="764"/>
      <c r="X228" s="764"/>
      <c r="Y228" s="764"/>
      <c r="Z228" s="727"/>
      <c r="AA228" s="722"/>
      <c r="AB228" s="727"/>
      <c r="AC228" s="721"/>
      <c r="AD228" s="722" t="str">
        <f>+IF(OR(AB228=1,AB228&lt;=5),"Moderado",IF(OR(AB228=6,AB228&lt;=11),"Mayor","Catastrófico"))</f>
        <v>Moderado</v>
      </c>
      <c r="AE228" s="721"/>
      <c r="AF228" s="715"/>
      <c r="AG228" s="52" t="s">
        <v>467</v>
      </c>
      <c r="AH228" s="145"/>
      <c r="AI228" s="145"/>
      <c r="AJ228" s="145"/>
      <c r="AK228" s="28" t="str">
        <f t="shared" si="41"/>
        <v/>
      </c>
      <c r="AL228" s="145"/>
      <c r="AM228" s="28" t="str">
        <f t="shared" si="42"/>
        <v/>
      </c>
      <c r="AN228" s="140"/>
      <c r="AO228" s="28" t="str">
        <f t="shared" si="43"/>
        <v/>
      </c>
      <c r="AP228" s="140"/>
      <c r="AQ228" s="28" t="str">
        <f t="shared" si="44"/>
        <v/>
      </c>
      <c r="AR228" s="140"/>
      <c r="AS228" s="28" t="str">
        <f t="shared" si="45"/>
        <v/>
      </c>
      <c r="AT228" s="140"/>
      <c r="AU228" s="28" t="str">
        <f t="shared" si="46"/>
        <v/>
      </c>
      <c r="AV228" s="140"/>
      <c r="AW228" s="28" t="str">
        <f t="shared" si="47"/>
        <v/>
      </c>
      <c r="AX228" s="111" t="str">
        <f t="shared" si="48"/>
        <v/>
      </c>
      <c r="AY228" s="111" t="str">
        <f t="shared" si="49"/>
        <v/>
      </c>
      <c r="AZ228" s="141"/>
      <c r="BA228" s="153" t="str">
        <f t="shared" si="50"/>
        <v>Débil</v>
      </c>
      <c r="BB228" s="22" t="str">
        <f>IFERROR(VLOOKUP((CONCATENATE(AY228,BA228)),Listados!$U$3:$V$11,2,FALSE),"")</f>
        <v/>
      </c>
      <c r="BC228" s="111">
        <f t="shared" si="51"/>
        <v>100</v>
      </c>
      <c r="BD228" s="718"/>
      <c r="BE228" s="761"/>
      <c r="BF228" s="718"/>
      <c r="BG228" s="718"/>
      <c r="BH228" s="714"/>
      <c r="BI228" s="715"/>
      <c r="BJ228" s="714"/>
      <c r="BK228" s="714"/>
      <c r="BL228" s="799"/>
      <c r="BM228" s="800"/>
      <c r="BN228" s="801"/>
      <c r="BO228" s="799"/>
      <c r="BP228" s="800"/>
      <c r="BQ228" s="801"/>
      <c r="BR228" s="799"/>
      <c r="BS228" s="800"/>
      <c r="BT228" s="801"/>
    </row>
    <row r="229" spans="1:72" ht="15" thickBot="1">
      <c r="A229" s="723">
        <v>38</v>
      </c>
      <c r="B229" s="776"/>
      <c r="C229" s="729" t="str">
        <f>IFERROR(VLOOKUP(B229,Listados!B$3:C$20,2,FALSE),"")</f>
        <v/>
      </c>
      <c r="D229" s="735" t="s">
        <v>584</v>
      </c>
      <c r="E229" s="105"/>
      <c r="F229" s="18"/>
      <c r="G229" s="735"/>
      <c r="H229" s="763"/>
      <c r="I229" s="763"/>
      <c r="J229" s="763"/>
      <c r="K229" s="763"/>
      <c r="L229" s="763"/>
      <c r="M229" s="763"/>
      <c r="N229" s="763"/>
      <c r="O229" s="763"/>
      <c r="P229" s="763"/>
      <c r="Q229" s="763"/>
      <c r="R229" s="763"/>
      <c r="S229" s="763"/>
      <c r="T229" s="763"/>
      <c r="U229" s="763"/>
      <c r="V229" s="763"/>
      <c r="W229" s="763"/>
      <c r="X229" s="763"/>
      <c r="Y229" s="763"/>
      <c r="Z229" s="762"/>
      <c r="AA229" s="721">
        <f>COUNTIF(H229:Z234, "SI")</f>
        <v>0</v>
      </c>
      <c r="AB229" s="762"/>
      <c r="AC229" s="719" t="e">
        <f>+VLOOKUP(AB229,Listados!$K$8:$L$12,2,0)</f>
        <v>#N/A</v>
      </c>
      <c r="AD229" s="721" t="str">
        <f>+IF(OR(AA229=1,AA229&lt;=5),"Moderado",IF(OR(AA229=6,AA229&lt;=11),"Mayor","Catastrófico"))</f>
        <v>Moderado</v>
      </c>
      <c r="AE229" s="719" t="e">
        <f>+VLOOKUP(AD229,Listados!K235:L239,2,0)</f>
        <v>#N/A</v>
      </c>
      <c r="AF229" s="714" t="str">
        <f>IF(AND(AB229&lt;&gt;"",AD229&lt;&gt;""),VLOOKUP(AB229&amp;AD229,Listados!$M$3:$N$27,2,FALSE),"")</f>
        <v/>
      </c>
      <c r="AG229" s="52" t="s">
        <v>467</v>
      </c>
      <c r="AH229" s="145"/>
      <c r="AI229" s="145"/>
      <c r="AJ229" s="145"/>
      <c r="AK229" s="28" t="str">
        <f t="shared" si="41"/>
        <v/>
      </c>
      <c r="AL229" s="145"/>
      <c r="AM229" s="28" t="str">
        <f t="shared" si="42"/>
        <v/>
      </c>
      <c r="AN229" s="140"/>
      <c r="AO229" s="28" t="str">
        <f t="shared" si="43"/>
        <v/>
      </c>
      <c r="AP229" s="140"/>
      <c r="AQ229" s="28" t="str">
        <f t="shared" si="44"/>
        <v/>
      </c>
      <c r="AR229" s="140"/>
      <c r="AS229" s="28" t="str">
        <f t="shared" si="45"/>
        <v/>
      </c>
      <c r="AT229" s="140"/>
      <c r="AU229" s="28" t="str">
        <f t="shared" si="46"/>
        <v/>
      </c>
      <c r="AV229" s="140"/>
      <c r="AW229" s="28" t="str">
        <f t="shared" si="47"/>
        <v/>
      </c>
      <c r="AX229" s="111" t="str">
        <f t="shared" si="48"/>
        <v/>
      </c>
      <c r="AY229" s="111" t="str">
        <f t="shared" si="49"/>
        <v/>
      </c>
      <c r="AZ229" s="141"/>
      <c r="BA229" s="153" t="str">
        <f t="shared" si="50"/>
        <v>Débil</v>
      </c>
      <c r="BB229" s="22" t="str">
        <f>IFERROR(VLOOKUP((CONCATENATE(AY229,BA229)),Listados!$U$3:$V$11,2,FALSE),"")</f>
        <v/>
      </c>
      <c r="BC229" s="111">
        <f t="shared" si="51"/>
        <v>100</v>
      </c>
      <c r="BD229" s="716">
        <f>AVERAGE(BC229:BC234)</f>
        <v>100</v>
      </c>
      <c r="BE229" s="718" t="str">
        <f>IF(BD229&lt;=50, "Débil", IF(BD229&lt;=99,"Moderado","Fuerte"))</f>
        <v>Fuerte</v>
      </c>
      <c r="BF229" s="716">
        <f>+IF(BE229="Fuerte",2,IF(BE229="Moderado",1,0))</f>
        <v>2</v>
      </c>
      <c r="BG229" s="716" t="e">
        <f>+AC229-BF229</f>
        <v>#N/A</v>
      </c>
      <c r="BH229" s="712" t="e">
        <f>+VLOOKUP(BG229,Listados!$J$18:$K$24,2,TRUE)</f>
        <v>#N/A</v>
      </c>
      <c r="BI229" s="714" t="str">
        <f>IF(ISBLANK(AD229),"",AD229)</f>
        <v>Moderado</v>
      </c>
      <c r="BJ229" s="712" t="e">
        <f>IF(AND(BH229&lt;&gt;"",BI229&lt;&gt;""),VLOOKUP(BH229&amp;BI229,Listados!$M$3:$N$27,2,FALSE),"")</f>
        <v>#N/A</v>
      </c>
      <c r="BK229" s="712" t="e">
        <f>+VLOOKUP(BJ229,Listados!$P$3:$Q$6,2,FALSE)</f>
        <v>#N/A</v>
      </c>
      <c r="BL229" s="799"/>
      <c r="BM229" s="800"/>
      <c r="BN229" s="801"/>
      <c r="BO229" s="799"/>
      <c r="BP229" s="800"/>
      <c r="BQ229" s="801"/>
      <c r="BR229" s="799"/>
      <c r="BS229" s="800"/>
      <c r="BT229" s="801"/>
    </row>
    <row r="230" spans="1:72" ht="15" thickBot="1">
      <c r="A230" s="724"/>
      <c r="B230" s="777"/>
      <c r="C230" s="730"/>
      <c r="D230" s="736"/>
      <c r="E230" s="161"/>
      <c r="F230" s="150"/>
      <c r="G230" s="736"/>
      <c r="H230" s="764"/>
      <c r="I230" s="764"/>
      <c r="J230" s="764"/>
      <c r="K230" s="764"/>
      <c r="L230" s="764"/>
      <c r="M230" s="764"/>
      <c r="N230" s="764"/>
      <c r="O230" s="764"/>
      <c r="P230" s="764"/>
      <c r="Q230" s="764"/>
      <c r="R230" s="764"/>
      <c r="S230" s="764"/>
      <c r="T230" s="764"/>
      <c r="U230" s="764"/>
      <c r="V230" s="764"/>
      <c r="W230" s="764"/>
      <c r="X230" s="764"/>
      <c r="Y230" s="764"/>
      <c r="Z230" s="727"/>
      <c r="AA230" s="722"/>
      <c r="AB230" s="727"/>
      <c r="AC230" s="720"/>
      <c r="AD230" s="722" t="str">
        <f>+IF(OR(AB230=1,AB230&lt;=5),"Moderado",IF(OR(AB230=6,AB230&lt;=11),"Mayor","Catastrófico"))</f>
        <v>Moderado</v>
      </c>
      <c r="AE230" s="720"/>
      <c r="AF230" s="715"/>
      <c r="AG230" s="52" t="s">
        <v>467</v>
      </c>
      <c r="AH230" s="145"/>
      <c r="AI230" s="145"/>
      <c r="AJ230" s="145"/>
      <c r="AK230" s="28" t="str">
        <f t="shared" si="41"/>
        <v/>
      </c>
      <c r="AL230" s="145"/>
      <c r="AM230" s="28" t="str">
        <f t="shared" si="42"/>
        <v/>
      </c>
      <c r="AN230" s="140"/>
      <c r="AO230" s="28" t="str">
        <f t="shared" si="43"/>
        <v/>
      </c>
      <c r="AP230" s="140"/>
      <c r="AQ230" s="28" t="str">
        <f t="shared" si="44"/>
        <v/>
      </c>
      <c r="AR230" s="140"/>
      <c r="AS230" s="28" t="str">
        <f t="shared" si="45"/>
        <v/>
      </c>
      <c r="AT230" s="140"/>
      <c r="AU230" s="28" t="str">
        <f t="shared" si="46"/>
        <v/>
      </c>
      <c r="AV230" s="140"/>
      <c r="AW230" s="28" t="str">
        <f t="shared" si="47"/>
        <v/>
      </c>
      <c r="AX230" s="111" t="str">
        <f t="shared" si="48"/>
        <v/>
      </c>
      <c r="AY230" s="111" t="str">
        <f t="shared" si="49"/>
        <v/>
      </c>
      <c r="AZ230" s="141"/>
      <c r="BA230" s="153" t="str">
        <f t="shared" si="50"/>
        <v>Débil</v>
      </c>
      <c r="BB230" s="22" t="str">
        <f>IFERROR(VLOOKUP((CONCATENATE(AY230,BA230)),Listados!$U$3:$V$11,2,FALSE),"")</f>
        <v/>
      </c>
      <c r="BC230" s="111">
        <f t="shared" si="51"/>
        <v>100</v>
      </c>
      <c r="BD230" s="717"/>
      <c r="BE230" s="761"/>
      <c r="BF230" s="717"/>
      <c r="BG230" s="717"/>
      <c r="BH230" s="713"/>
      <c r="BI230" s="715"/>
      <c r="BJ230" s="713"/>
      <c r="BK230" s="713"/>
      <c r="BL230" s="799"/>
      <c r="BM230" s="800"/>
      <c r="BN230" s="801"/>
      <c r="BO230" s="799"/>
      <c r="BP230" s="800"/>
      <c r="BQ230" s="801"/>
      <c r="BR230" s="799"/>
      <c r="BS230" s="800"/>
      <c r="BT230" s="801"/>
    </row>
    <row r="231" spans="1:72" ht="15" thickBot="1">
      <c r="A231" s="724"/>
      <c r="B231" s="777"/>
      <c r="C231" s="730"/>
      <c r="D231" s="736"/>
      <c r="E231" s="161"/>
      <c r="F231" s="150"/>
      <c r="G231" s="736"/>
      <c r="H231" s="764"/>
      <c r="I231" s="764"/>
      <c r="J231" s="764"/>
      <c r="K231" s="764"/>
      <c r="L231" s="764"/>
      <c r="M231" s="764"/>
      <c r="N231" s="764"/>
      <c r="O231" s="764"/>
      <c r="P231" s="764"/>
      <c r="Q231" s="764"/>
      <c r="R231" s="764"/>
      <c r="S231" s="764"/>
      <c r="T231" s="764"/>
      <c r="U231" s="764"/>
      <c r="V231" s="764"/>
      <c r="W231" s="764"/>
      <c r="X231" s="764"/>
      <c r="Y231" s="764"/>
      <c r="Z231" s="727"/>
      <c r="AA231" s="722"/>
      <c r="AB231" s="727"/>
      <c r="AC231" s="720"/>
      <c r="AD231" s="722" t="str">
        <f>+IF(OR(AB231=1,AB231&lt;=5),"Moderado",IF(OR(AB231=6,AB231&lt;=11),"Mayor","Catastrófico"))</f>
        <v>Moderado</v>
      </c>
      <c r="AE231" s="720"/>
      <c r="AF231" s="715"/>
      <c r="AG231" s="52" t="s">
        <v>467</v>
      </c>
      <c r="AH231" s="145"/>
      <c r="AI231" s="145"/>
      <c r="AJ231" s="145"/>
      <c r="AK231" s="28" t="str">
        <f t="shared" si="41"/>
        <v/>
      </c>
      <c r="AL231" s="145"/>
      <c r="AM231" s="28" t="str">
        <f t="shared" si="42"/>
        <v/>
      </c>
      <c r="AN231" s="140"/>
      <c r="AO231" s="28" t="str">
        <f t="shared" si="43"/>
        <v/>
      </c>
      <c r="AP231" s="140"/>
      <c r="AQ231" s="28" t="str">
        <f t="shared" si="44"/>
        <v/>
      </c>
      <c r="AR231" s="140"/>
      <c r="AS231" s="28" t="str">
        <f t="shared" si="45"/>
        <v/>
      </c>
      <c r="AT231" s="140"/>
      <c r="AU231" s="28" t="str">
        <f t="shared" si="46"/>
        <v/>
      </c>
      <c r="AV231" s="140"/>
      <c r="AW231" s="28" t="str">
        <f t="shared" si="47"/>
        <v/>
      </c>
      <c r="AX231" s="111" t="str">
        <f t="shared" si="48"/>
        <v/>
      </c>
      <c r="AY231" s="111" t="str">
        <f t="shared" si="49"/>
        <v/>
      </c>
      <c r="AZ231" s="141"/>
      <c r="BA231" s="153" t="str">
        <f t="shared" si="50"/>
        <v>Débil</v>
      </c>
      <c r="BB231" s="22" t="str">
        <f>IFERROR(VLOOKUP((CONCATENATE(AY231,BA231)),Listados!$U$3:$V$11,2,FALSE),"")</f>
        <v/>
      </c>
      <c r="BC231" s="111">
        <f t="shared" si="51"/>
        <v>100</v>
      </c>
      <c r="BD231" s="717"/>
      <c r="BE231" s="761"/>
      <c r="BF231" s="717"/>
      <c r="BG231" s="717"/>
      <c r="BH231" s="713"/>
      <c r="BI231" s="715"/>
      <c r="BJ231" s="713"/>
      <c r="BK231" s="713"/>
      <c r="BL231" s="799"/>
      <c r="BM231" s="800"/>
      <c r="BN231" s="801"/>
      <c r="BO231" s="799"/>
      <c r="BP231" s="800"/>
      <c r="BQ231" s="801"/>
      <c r="BR231" s="799"/>
      <c r="BS231" s="800"/>
      <c r="BT231" s="801"/>
    </row>
    <row r="232" spans="1:72" ht="15" thickBot="1">
      <c r="A232" s="724"/>
      <c r="B232" s="777"/>
      <c r="C232" s="730"/>
      <c r="D232" s="736"/>
      <c r="E232" s="755"/>
      <c r="F232" s="769"/>
      <c r="G232" s="736"/>
      <c r="H232" s="764"/>
      <c r="I232" s="764"/>
      <c r="J232" s="764"/>
      <c r="K232" s="764"/>
      <c r="L232" s="764"/>
      <c r="M232" s="764"/>
      <c r="N232" s="764"/>
      <c r="O232" s="764"/>
      <c r="P232" s="764"/>
      <c r="Q232" s="764"/>
      <c r="R232" s="764"/>
      <c r="S232" s="764"/>
      <c r="T232" s="764"/>
      <c r="U232" s="764"/>
      <c r="V232" s="764"/>
      <c r="W232" s="764"/>
      <c r="X232" s="764"/>
      <c r="Y232" s="764"/>
      <c r="Z232" s="727"/>
      <c r="AA232" s="722"/>
      <c r="AB232" s="727"/>
      <c r="AC232" s="720"/>
      <c r="AD232" s="722" t="str">
        <f>+IF(OR(AB232=1,AB232&lt;=5),"Moderado",IF(OR(AB232=6,AB232&lt;=11),"Mayor","Catastrófico"))</f>
        <v>Moderado</v>
      </c>
      <c r="AE232" s="720"/>
      <c r="AF232" s="715"/>
      <c r="AG232" s="52" t="s">
        <v>467</v>
      </c>
      <c r="AH232" s="145"/>
      <c r="AI232" s="145"/>
      <c r="AJ232" s="145"/>
      <c r="AK232" s="28" t="str">
        <f t="shared" si="41"/>
        <v/>
      </c>
      <c r="AL232" s="145"/>
      <c r="AM232" s="28" t="str">
        <f t="shared" si="42"/>
        <v/>
      </c>
      <c r="AN232" s="140"/>
      <c r="AO232" s="28" t="str">
        <f t="shared" si="43"/>
        <v/>
      </c>
      <c r="AP232" s="140"/>
      <c r="AQ232" s="28" t="str">
        <f t="shared" si="44"/>
        <v/>
      </c>
      <c r="AR232" s="140"/>
      <c r="AS232" s="28" t="str">
        <f t="shared" si="45"/>
        <v/>
      </c>
      <c r="AT232" s="140"/>
      <c r="AU232" s="28" t="str">
        <f t="shared" si="46"/>
        <v/>
      </c>
      <c r="AV232" s="140"/>
      <c r="AW232" s="28" t="str">
        <f t="shared" si="47"/>
        <v/>
      </c>
      <c r="AX232" s="111" t="str">
        <f t="shared" si="48"/>
        <v/>
      </c>
      <c r="AY232" s="111" t="str">
        <f t="shared" si="49"/>
        <v/>
      </c>
      <c r="AZ232" s="141"/>
      <c r="BA232" s="153" t="str">
        <f t="shared" si="50"/>
        <v>Débil</v>
      </c>
      <c r="BB232" s="22" t="str">
        <f>IFERROR(VLOOKUP((CONCATENATE(AY232,BA232)),Listados!$U$3:$V$11,2,FALSE),"")</f>
        <v/>
      </c>
      <c r="BC232" s="111">
        <f t="shared" si="51"/>
        <v>100</v>
      </c>
      <c r="BD232" s="717"/>
      <c r="BE232" s="761"/>
      <c r="BF232" s="717"/>
      <c r="BG232" s="717"/>
      <c r="BH232" s="713"/>
      <c r="BI232" s="715"/>
      <c r="BJ232" s="713"/>
      <c r="BK232" s="713"/>
      <c r="BL232" s="799"/>
      <c r="BM232" s="800"/>
      <c r="BN232" s="801"/>
      <c r="BO232" s="799"/>
      <c r="BP232" s="800"/>
      <c r="BQ232" s="801"/>
      <c r="BR232" s="799"/>
      <c r="BS232" s="800"/>
      <c r="BT232" s="801"/>
    </row>
    <row r="233" spans="1:72" ht="15" thickBot="1">
      <c r="A233" s="724"/>
      <c r="B233" s="777"/>
      <c r="C233" s="730"/>
      <c r="D233" s="736"/>
      <c r="E233" s="756"/>
      <c r="F233" s="770"/>
      <c r="G233" s="736"/>
      <c r="H233" s="764"/>
      <c r="I233" s="764"/>
      <c r="J233" s="764"/>
      <c r="K233" s="764"/>
      <c r="L233" s="764"/>
      <c r="M233" s="764"/>
      <c r="N233" s="764"/>
      <c r="O233" s="764"/>
      <c r="P233" s="764"/>
      <c r="Q233" s="764"/>
      <c r="R233" s="764"/>
      <c r="S233" s="764"/>
      <c r="T233" s="764"/>
      <c r="U233" s="764"/>
      <c r="V233" s="764"/>
      <c r="W233" s="764"/>
      <c r="X233" s="764"/>
      <c r="Y233" s="764"/>
      <c r="Z233" s="727"/>
      <c r="AA233" s="722"/>
      <c r="AB233" s="727"/>
      <c r="AC233" s="720"/>
      <c r="AD233" s="722" t="str">
        <f>+IF(OR(AB233=1,AB233&lt;=5),"Moderado",IF(OR(AB233=6,AB233&lt;=11),"Mayor","Catastrófico"))</f>
        <v>Moderado</v>
      </c>
      <c r="AE233" s="720"/>
      <c r="AF233" s="715"/>
      <c r="AG233" s="52" t="s">
        <v>467</v>
      </c>
      <c r="AH233" s="145"/>
      <c r="AI233" s="145"/>
      <c r="AJ233" s="145"/>
      <c r="AK233" s="28" t="str">
        <f t="shared" si="41"/>
        <v/>
      </c>
      <c r="AL233" s="145"/>
      <c r="AM233" s="28" t="str">
        <f t="shared" si="42"/>
        <v/>
      </c>
      <c r="AN233" s="140"/>
      <c r="AO233" s="28" t="str">
        <f t="shared" si="43"/>
        <v/>
      </c>
      <c r="AP233" s="140"/>
      <c r="AQ233" s="28" t="str">
        <f t="shared" si="44"/>
        <v/>
      </c>
      <c r="AR233" s="140"/>
      <c r="AS233" s="28" t="str">
        <f t="shared" si="45"/>
        <v/>
      </c>
      <c r="AT233" s="140"/>
      <c r="AU233" s="28" t="str">
        <f t="shared" si="46"/>
        <v/>
      </c>
      <c r="AV233" s="140"/>
      <c r="AW233" s="28" t="str">
        <f t="shared" si="47"/>
        <v/>
      </c>
      <c r="AX233" s="111" t="str">
        <f t="shared" si="48"/>
        <v/>
      </c>
      <c r="AY233" s="111" t="str">
        <f t="shared" si="49"/>
        <v/>
      </c>
      <c r="AZ233" s="141"/>
      <c r="BA233" s="153" t="str">
        <f t="shared" si="50"/>
        <v>Débil</v>
      </c>
      <c r="BB233" s="22" t="str">
        <f>IFERROR(VLOOKUP((CONCATENATE(AY233,BA233)),Listados!$U$3:$V$11,2,FALSE),"")</f>
        <v/>
      </c>
      <c r="BC233" s="111">
        <f t="shared" si="51"/>
        <v>100</v>
      </c>
      <c r="BD233" s="717"/>
      <c r="BE233" s="761"/>
      <c r="BF233" s="717"/>
      <c r="BG233" s="717"/>
      <c r="BH233" s="713"/>
      <c r="BI233" s="715"/>
      <c r="BJ233" s="713"/>
      <c r="BK233" s="713"/>
      <c r="BL233" s="799"/>
      <c r="BM233" s="800"/>
      <c r="BN233" s="801"/>
      <c r="BO233" s="799"/>
      <c r="BP233" s="800"/>
      <c r="BQ233" s="801"/>
      <c r="BR233" s="799"/>
      <c r="BS233" s="800"/>
      <c r="BT233" s="801"/>
    </row>
    <row r="234" spans="1:72" ht="15" thickBot="1">
      <c r="A234" s="725"/>
      <c r="B234" s="777"/>
      <c r="C234" s="731"/>
      <c r="D234" s="781"/>
      <c r="E234" s="757"/>
      <c r="F234" s="771"/>
      <c r="G234" s="736"/>
      <c r="H234" s="764"/>
      <c r="I234" s="764"/>
      <c r="J234" s="764"/>
      <c r="K234" s="764"/>
      <c r="L234" s="764"/>
      <c r="M234" s="764"/>
      <c r="N234" s="764"/>
      <c r="O234" s="764"/>
      <c r="P234" s="764"/>
      <c r="Q234" s="764"/>
      <c r="R234" s="764"/>
      <c r="S234" s="764"/>
      <c r="T234" s="764"/>
      <c r="U234" s="764"/>
      <c r="V234" s="764"/>
      <c r="W234" s="764"/>
      <c r="X234" s="764"/>
      <c r="Y234" s="764"/>
      <c r="Z234" s="727"/>
      <c r="AA234" s="722"/>
      <c r="AB234" s="727"/>
      <c r="AC234" s="721"/>
      <c r="AD234" s="722" t="str">
        <f>+IF(OR(AB234=1,AB234&lt;=5),"Moderado",IF(OR(AB234=6,AB234&lt;=11),"Mayor","Catastrófico"))</f>
        <v>Moderado</v>
      </c>
      <c r="AE234" s="721"/>
      <c r="AF234" s="715"/>
      <c r="AG234" s="52" t="s">
        <v>467</v>
      </c>
      <c r="AH234" s="145"/>
      <c r="AI234" s="145"/>
      <c r="AJ234" s="145"/>
      <c r="AK234" s="28" t="str">
        <f t="shared" si="41"/>
        <v/>
      </c>
      <c r="AL234" s="145"/>
      <c r="AM234" s="28" t="str">
        <f t="shared" si="42"/>
        <v/>
      </c>
      <c r="AN234" s="140"/>
      <c r="AO234" s="28" t="str">
        <f t="shared" si="43"/>
        <v/>
      </c>
      <c r="AP234" s="140"/>
      <c r="AQ234" s="28" t="str">
        <f t="shared" si="44"/>
        <v/>
      </c>
      <c r="AR234" s="140"/>
      <c r="AS234" s="28" t="str">
        <f t="shared" si="45"/>
        <v/>
      </c>
      <c r="AT234" s="140"/>
      <c r="AU234" s="28" t="str">
        <f t="shared" si="46"/>
        <v/>
      </c>
      <c r="AV234" s="140"/>
      <c r="AW234" s="28" t="str">
        <f t="shared" si="47"/>
        <v/>
      </c>
      <c r="AX234" s="111" t="str">
        <f t="shared" si="48"/>
        <v/>
      </c>
      <c r="AY234" s="111" t="str">
        <f t="shared" si="49"/>
        <v/>
      </c>
      <c r="AZ234" s="141"/>
      <c r="BA234" s="153" t="str">
        <f t="shared" si="50"/>
        <v>Débil</v>
      </c>
      <c r="BB234" s="22" t="str">
        <f>IFERROR(VLOOKUP((CONCATENATE(AY234,BA234)),Listados!$U$3:$V$11,2,FALSE),"")</f>
        <v/>
      </c>
      <c r="BC234" s="111">
        <f t="shared" si="51"/>
        <v>100</v>
      </c>
      <c r="BD234" s="718"/>
      <c r="BE234" s="761"/>
      <c r="BF234" s="718"/>
      <c r="BG234" s="718"/>
      <c r="BH234" s="714"/>
      <c r="BI234" s="715"/>
      <c r="BJ234" s="714"/>
      <c r="BK234" s="714"/>
      <c r="BL234" s="799"/>
      <c r="BM234" s="800"/>
      <c r="BN234" s="801"/>
      <c r="BO234" s="799"/>
      <c r="BP234" s="800"/>
      <c r="BQ234" s="801"/>
      <c r="BR234" s="799"/>
      <c r="BS234" s="800"/>
      <c r="BT234" s="801"/>
    </row>
    <row r="235" spans="1:72" ht="15" thickBot="1">
      <c r="A235" s="723">
        <v>39</v>
      </c>
      <c r="B235" s="776"/>
      <c r="C235" s="729" t="str">
        <f>IFERROR(VLOOKUP(B235,Listados!B$3:C$20,2,FALSE),"")</f>
        <v/>
      </c>
      <c r="D235" s="735" t="s">
        <v>584</v>
      </c>
      <c r="E235" s="105"/>
      <c r="F235" s="18"/>
      <c r="G235" s="735"/>
      <c r="H235" s="763"/>
      <c r="I235" s="763"/>
      <c r="J235" s="763"/>
      <c r="K235" s="763"/>
      <c r="L235" s="763"/>
      <c r="M235" s="763"/>
      <c r="N235" s="763"/>
      <c r="O235" s="763"/>
      <c r="P235" s="763"/>
      <c r="Q235" s="763"/>
      <c r="R235" s="763"/>
      <c r="S235" s="763"/>
      <c r="T235" s="763"/>
      <c r="U235" s="763"/>
      <c r="V235" s="763"/>
      <c r="W235" s="763"/>
      <c r="X235" s="763"/>
      <c r="Y235" s="763"/>
      <c r="Z235" s="762"/>
      <c r="AA235" s="721">
        <f>COUNTIF(H235:Z240, "SI")</f>
        <v>0</v>
      </c>
      <c r="AB235" s="762"/>
      <c r="AC235" s="719" t="e">
        <f>+VLOOKUP(AB235,Listados!$K$8:$L$12,2,0)</f>
        <v>#N/A</v>
      </c>
      <c r="AD235" s="721" t="str">
        <f>+IF(OR(AA235=1,AA235&lt;=5),"Moderado",IF(OR(AA235=6,AA235&lt;=11),"Mayor","Catastrófico"))</f>
        <v>Moderado</v>
      </c>
      <c r="AE235" s="719" t="e">
        <f>+VLOOKUP(AD235,Listados!K241:L245,2,0)</f>
        <v>#N/A</v>
      </c>
      <c r="AF235" s="714" t="str">
        <f>IF(AND(AB235&lt;&gt;"",AD235&lt;&gt;""),VLOOKUP(AB235&amp;AD235,Listados!$M$3:$N$27,2,FALSE),"")</f>
        <v/>
      </c>
      <c r="AG235" s="52" t="s">
        <v>467</v>
      </c>
      <c r="AH235" s="145"/>
      <c r="AI235" s="145"/>
      <c r="AJ235" s="145"/>
      <c r="AK235" s="28" t="str">
        <f t="shared" si="41"/>
        <v/>
      </c>
      <c r="AL235" s="145"/>
      <c r="AM235" s="28" t="str">
        <f t="shared" si="42"/>
        <v/>
      </c>
      <c r="AN235" s="140"/>
      <c r="AO235" s="28" t="str">
        <f t="shared" si="43"/>
        <v/>
      </c>
      <c r="AP235" s="140"/>
      <c r="AQ235" s="28" t="str">
        <f t="shared" si="44"/>
        <v/>
      </c>
      <c r="AR235" s="140"/>
      <c r="AS235" s="28" t="str">
        <f t="shared" si="45"/>
        <v/>
      </c>
      <c r="AT235" s="140"/>
      <c r="AU235" s="28" t="str">
        <f t="shared" si="46"/>
        <v/>
      </c>
      <c r="AV235" s="140"/>
      <c r="AW235" s="28" t="str">
        <f t="shared" si="47"/>
        <v/>
      </c>
      <c r="AX235" s="111" t="str">
        <f t="shared" si="48"/>
        <v/>
      </c>
      <c r="AY235" s="111" t="str">
        <f t="shared" si="49"/>
        <v/>
      </c>
      <c r="AZ235" s="141"/>
      <c r="BA235" s="153" t="str">
        <f t="shared" si="50"/>
        <v>Débil</v>
      </c>
      <c r="BB235" s="22" t="str">
        <f>IFERROR(VLOOKUP((CONCATENATE(AY235,BA235)),Listados!$U$3:$V$11,2,FALSE),"")</f>
        <v/>
      </c>
      <c r="BC235" s="111">
        <f t="shared" si="51"/>
        <v>100</v>
      </c>
      <c r="BD235" s="716">
        <f>AVERAGE(BC235:BC240)</f>
        <v>100</v>
      </c>
      <c r="BE235" s="718" t="str">
        <f>IF(BD235&lt;=50, "Débil", IF(BD235&lt;=99,"Moderado","Fuerte"))</f>
        <v>Fuerte</v>
      </c>
      <c r="BF235" s="716">
        <f>+IF(BE235="Fuerte",2,IF(BE235="Moderado",1,0))</f>
        <v>2</v>
      </c>
      <c r="BG235" s="716" t="e">
        <f>+AC235-BF235</f>
        <v>#N/A</v>
      </c>
      <c r="BH235" s="712" t="e">
        <f>+VLOOKUP(BG235,Listados!$J$18:$K$24,2,TRUE)</f>
        <v>#N/A</v>
      </c>
      <c r="BI235" s="714" t="str">
        <f>IF(ISBLANK(AD235),"",AD235)</f>
        <v>Moderado</v>
      </c>
      <c r="BJ235" s="712" t="e">
        <f>IF(AND(BH235&lt;&gt;"",BI235&lt;&gt;""),VLOOKUP(BH235&amp;BI235,Listados!$M$3:$N$27,2,FALSE),"")</f>
        <v>#N/A</v>
      </c>
      <c r="BK235" s="712" t="e">
        <f>+VLOOKUP(BJ235,Listados!$P$3:$Q$6,2,FALSE)</f>
        <v>#N/A</v>
      </c>
      <c r="BL235" s="799"/>
      <c r="BM235" s="800"/>
      <c r="BN235" s="801"/>
      <c r="BO235" s="799"/>
      <c r="BP235" s="800"/>
      <c r="BQ235" s="801"/>
      <c r="BR235" s="799"/>
      <c r="BS235" s="800"/>
      <c r="BT235" s="801"/>
    </row>
    <row r="236" spans="1:72" ht="15" thickBot="1">
      <c r="A236" s="724"/>
      <c r="B236" s="777"/>
      <c r="C236" s="730"/>
      <c r="D236" s="736"/>
      <c r="E236" s="161"/>
      <c r="F236" s="150"/>
      <c r="G236" s="736"/>
      <c r="H236" s="764"/>
      <c r="I236" s="764"/>
      <c r="J236" s="764"/>
      <c r="K236" s="764"/>
      <c r="L236" s="764"/>
      <c r="M236" s="764"/>
      <c r="N236" s="764"/>
      <c r="O236" s="764"/>
      <c r="P236" s="764"/>
      <c r="Q236" s="764"/>
      <c r="R236" s="764"/>
      <c r="S236" s="764"/>
      <c r="T236" s="764"/>
      <c r="U236" s="764"/>
      <c r="V236" s="764"/>
      <c r="W236" s="764"/>
      <c r="X236" s="764"/>
      <c r="Y236" s="764"/>
      <c r="Z236" s="727"/>
      <c r="AA236" s="722"/>
      <c r="AB236" s="727"/>
      <c r="AC236" s="720"/>
      <c r="AD236" s="722" t="str">
        <f>+IF(OR(AB236=1,AB236&lt;=5),"Moderado",IF(OR(AB236=6,AB236&lt;=11),"Mayor","Catastrófico"))</f>
        <v>Moderado</v>
      </c>
      <c r="AE236" s="720"/>
      <c r="AF236" s="715"/>
      <c r="AG236" s="52" t="s">
        <v>467</v>
      </c>
      <c r="AH236" s="145"/>
      <c r="AI236" s="145"/>
      <c r="AJ236" s="145"/>
      <c r="AK236" s="28" t="str">
        <f t="shared" si="41"/>
        <v/>
      </c>
      <c r="AL236" s="145"/>
      <c r="AM236" s="28" t="str">
        <f t="shared" si="42"/>
        <v/>
      </c>
      <c r="AN236" s="140"/>
      <c r="AO236" s="28" t="str">
        <f t="shared" si="43"/>
        <v/>
      </c>
      <c r="AP236" s="140"/>
      <c r="AQ236" s="28" t="str">
        <f t="shared" si="44"/>
        <v/>
      </c>
      <c r="AR236" s="140"/>
      <c r="AS236" s="28" t="str">
        <f t="shared" si="45"/>
        <v/>
      </c>
      <c r="AT236" s="140"/>
      <c r="AU236" s="28" t="str">
        <f t="shared" si="46"/>
        <v/>
      </c>
      <c r="AV236" s="140"/>
      <c r="AW236" s="28" t="str">
        <f t="shared" si="47"/>
        <v/>
      </c>
      <c r="AX236" s="111" t="str">
        <f t="shared" si="48"/>
        <v/>
      </c>
      <c r="AY236" s="111" t="str">
        <f t="shared" si="49"/>
        <v/>
      </c>
      <c r="AZ236" s="141"/>
      <c r="BA236" s="153" t="str">
        <f t="shared" si="50"/>
        <v>Débil</v>
      </c>
      <c r="BB236" s="22" t="str">
        <f>IFERROR(VLOOKUP((CONCATENATE(AY236,BA236)),Listados!$U$3:$V$11,2,FALSE),"")</f>
        <v/>
      </c>
      <c r="BC236" s="111">
        <f t="shared" si="51"/>
        <v>100</v>
      </c>
      <c r="BD236" s="717"/>
      <c r="BE236" s="761"/>
      <c r="BF236" s="717"/>
      <c r="BG236" s="717"/>
      <c r="BH236" s="713"/>
      <c r="BI236" s="715"/>
      <c r="BJ236" s="713"/>
      <c r="BK236" s="713"/>
      <c r="BL236" s="799"/>
      <c r="BM236" s="800"/>
      <c r="BN236" s="801"/>
      <c r="BO236" s="799"/>
      <c r="BP236" s="800"/>
      <c r="BQ236" s="801"/>
      <c r="BR236" s="799"/>
      <c r="BS236" s="800"/>
      <c r="BT236" s="801"/>
    </row>
    <row r="237" spans="1:72" ht="15" thickBot="1">
      <c r="A237" s="724"/>
      <c r="B237" s="777"/>
      <c r="C237" s="730"/>
      <c r="D237" s="736"/>
      <c r="E237" s="161"/>
      <c r="F237" s="150"/>
      <c r="G237" s="736"/>
      <c r="H237" s="764"/>
      <c r="I237" s="764"/>
      <c r="J237" s="764"/>
      <c r="K237" s="764"/>
      <c r="L237" s="764"/>
      <c r="M237" s="764"/>
      <c r="N237" s="764"/>
      <c r="O237" s="764"/>
      <c r="P237" s="764"/>
      <c r="Q237" s="764"/>
      <c r="R237" s="764"/>
      <c r="S237" s="764"/>
      <c r="T237" s="764"/>
      <c r="U237" s="764"/>
      <c r="V237" s="764"/>
      <c r="W237" s="764"/>
      <c r="X237" s="764"/>
      <c r="Y237" s="764"/>
      <c r="Z237" s="727"/>
      <c r="AA237" s="722"/>
      <c r="AB237" s="727"/>
      <c r="AC237" s="720"/>
      <c r="AD237" s="722" t="str">
        <f>+IF(OR(AB237=1,AB237&lt;=5),"Moderado",IF(OR(AB237=6,AB237&lt;=11),"Mayor","Catastrófico"))</f>
        <v>Moderado</v>
      </c>
      <c r="AE237" s="720"/>
      <c r="AF237" s="715"/>
      <c r="AG237" s="52" t="s">
        <v>467</v>
      </c>
      <c r="AH237" s="145"/>
      <c r="AI237" s="145"/>
      <c r="AJ237" s="145"/>
      <c r="AK237" s="28" t="str">
        <f t="shared" si="41"/>
        <v/>
      </c>
      <c r="AL237" s="145"/>
      <c r="AM237" s="28" t="str">
        <f t="shared" si="42"/>
        <v/>
      </c>
      <c r="AN237" s="140"/>
      <c r="AO237" s="28" t="str">
        <f t="shared" si="43"/>
        <v/>
      </c>
      <c r="AP237" s="140"/>
      <c r="AQ237" s="28" t="str">
        <f t="shared" si="44"/>
        <v/>
      </c>
      <c r="AR237" s="140"/>
      <c r="AS237" s="28" t="str">
        <f t="shared" si="45"/>
        <v/>
      </c>
      <c r="AT237" s="140"/>
      <c r="AU237" s="28" t="str">
        <f t="shared" si="46"/>
        <v/>
      </c>
      <c r="AV237" s="140"/>
      <c r="AW237" s="28" t="str">
        <f t="shared" si="47"/>
        <v/>
      </c>
      <c r="AX237" s="111" t="str">
        <f t="shared" si="48"/>
        <v/>
      </c>
      <c r="AY237" s="111" t="str">
        <f t="shared" si="49"/>
        <v/>
      </c>
      <c r="AZ237" s="141"/>
      <c r="BA237" s="153" t="str">
        <f t="shared" si="50"/>
        <v>Débil</v>
      </c>
      <c r="BB237" s="22" t="str">
        <f>IFERROR(VLOOKUP((CONCATENATE(AY237,BA237)),Listados!$U$3:$V$11,2,FALSE),"")</f>
        <v/>
      </c>
      <c r="BC237" s="111">
        <f t="shared" si="51"/>
        <v>100</v>
      </c>
      <c r="BD237" s="717"/>
      <c r="BE237" s="761"/>
      <c r="BF237" s="717"/>
      <c r="BG237" s="717"/>
      <c r="BH237" s="713"/>
      <c r="BI237" s="715"/>
      <c r="BJ237" s="713"/>
      <c r="BK237" s="713"/>
      <c r="BL237" s="799"/>
      <c r="BM237" s="800"/>
      <c r="BN237" s="801"/>
      <c r="BO237" s="799"/>
      <c r="BP237" s="800"/>
      <c r="BQ237" s="801"/>
      <c r="BR237" s="799"/>
      <c r="BS237" s="800"/>
      <c r="BT237" s="801"/>
    </row>
    <row r="238" spans="1:72" ht="15" thickBot="1">
      <c r="A238" s="724"/>
      <c r="B238" s="777"/>
      <c r="C238" s="730"/>
      <c r="D238" s="736"/>
      <c r="E238" s="755"/>
      <c r="F238" s="769"/>
      <c r="G238" s="736"/>
      <c r="H238" s="764"/>
      <c r="I238" s="764"/>
      <c r="J238" s="764"/>
      <c r="K238" s="764"/>
      <c r="L238" s="764"/>
      <c r="M238" s="764"/>
      <c r="N238" s="764"/>
      <c r="O238" s="764"/>
      <c r="P238" s="764"/>
      <c r="Q238" s="764"/>
      <c r="R238" s="764"/>
      <c r="S238" s="764"/>
      <c r="T238" s="764"/>
      <c r="U238" s="764"/>
      <c r="V238" s="764"/>
      <c r="W238" s="764"/>
      <c r="X238" s="764"/>
      <c r="Y238" s="764"/>
      <c r="Z238" s="727"/>
      <c r="AA238" s="722"/>
      <c r="AB238" s="727"/>
      <c r="AC238" s="720"/>
      <c r="AD238" s="722" t="str">
        <f>+IF(OR(AB238=1,AB238&lt;=5),"Moderado",IF(OR(AB238=6,AB238&lt;=11),"Mayor","Catastrófico"))</f>
        <v>Moderado</v>
      </c>
      <c r="AE238" s="720"/>
      <c r="AF238" s="715"/>
      <c r="AG238" s="52" t="s">
        <v>467</v>
      </c>
      <c r="AH238" s="145"/>
      <c r="AI238" s="145"/>
      <c r="AJ238" s="145"/>
      <c r="AK238" s="28" t="str">
        <f t="shared" si="41"/>
        <v/>
      </c>
      <c r="AL238" s="145"/>
      <c r="AM238" s="28" t="str">
        <f t="shared" si="42"/>
        <v/>
      </c>
      <c r="AN238" s="140"/>
      <c r="AO238" s="28" t="str">
        <f t="shared" si="43"/>
        <v/>
      </c>
      <c r="AP238" s="140"/>
      <c r="AQ238" s="28" t="str">
        <f t="shared" si="44"/>
        <v/>
      </c>
      <c r="AR238" s="140"/>
      <c r="AS238" s="28" t="str">
        <f t="shared" si="45"/>
        <v/>
      </c>
      <c r="AT238" s="140"/>
      <c r="AU238" s="28" t="str">
        <f t="shared" si="46"/>
        <v/>
      </c>
      <c r="AV238" s="140"/>
      <c r="AW238" s="28" t="str">
        <f t="shared" si="47"/>
        <v/>
      </c>
      <c r="AX238" s="111" t="str">
        <f t="shared" si="48"/>
        <v/>
      </c>
      <c r="AY238" s="111" t="str">
        <f t="shared" si="49"/>
        <v/>
      </c>
      <c r="AZ238" s="141"/>
      <c r="BA238" s="153" t="str">
        <f t="shared" si="50"/>
        <v>Débil</v>
      </c>
      <c r="BB238" s="22" t="str">
        <f>IFERROR(VLOOKUP((CONCATENATE(AY238,BA238)),Listados!$U$3:$V$11,2,FALSE),"")</f>
        <v/>
      </c>
      <c r="BC238" s="111">
        <f t="shared" si="51"/>
        <v>100</v>
      </c>
      <c r="BD238" s="717"/>
      <c r="BE238" s="761"/>
      <c r="BF238" s="717"/>
      <c r="BG238" s="717"/>
      <c r="BH238" s="713"/>
      <c r="BI238" s="715"/>
      <c r="BJ238" s="713"/>
      <c r="BK238" s="713"/>
      <c r="BL238" s="799"/>
      <c r="BM238" s="800"/>
      <c r="BN238" s="801"/>
      <c r="BO238" s="799"/>
      <c r="BP238" s="800"/>
      <c r="BQ238" s="801"/>
      <c r="BR238" s="799"/>
      <c r="BS238" s="800"/>
      <c r="BT238" s="801"/>
    </row>
    <row r="239" spans="1:72" ht="15" thickBot="1">
      <c r="A239" s="724"/>
      <c r="B239" s="777"/>
      <c r="C239" s="730"/>
      <c r="D239" s="736"/>
      <c r="E239" s="756"/>
      <c r="F239" s="770"/>
      <c r="G239" s="736"/>
      <c r="H239" s="764"/>
      <c r="I239" s="764"/>
      <c r="J239" s="764"/>
      <c r="K239" s="764"/>
      <c r="L239" s="764"/>
      <c r="M239" s="764"/>
      <c r="N239" s="764"/>
      <c r="O239" s="764"/>
      <c r="P239" s="764"/>
      <c r="Q239" s="764"/>
      <c r="R239" s="764"/>
      <c r="S239" s="764"/>
      <c r="T239" s="764"/>
      <c r="U239" s="764"/>
      <c r="V239" s="764"/>
      <c r="W239" s="764"/>
      <c r="X239" s="764"/>
      <c r="Y239" s="764"/>
      <c r="Z239" s="727"/>
      <c r="AA239" s="722"/>
      <c r="AB239" s="727"/>
      <c r="AC239" s="720"/>
      <c r="AD239" s="722" t="str">
        <f>+IF(OR(AB239=1,AB239&lt;=5),"Moderado",IF(OR(AB239=6,AB239&lt;=11),"Mayor","Catastrófico"))</f>
        <v>Moderado</v>
      </c>
      <c r="AE239" s="720"/>
      <c r="AF239" s="715"/>
      <c r="AG239" s="52" t="s">
        <v>467</v>
      </c>
      <c r="AH239" s="145"/>
      <c r="AI239" s="145"/>
      <c r="AJ239" s="145"/>
      <c r="AK239" s="28" t="str">
        <f t="shared" si="41"/>
        <v/>
      </c>
      <c r="AL239" s="145"/>
      <c r="AM239" s="28" t="str">
        <f t="shared" si="42"/>
        <v/>
      </c>
      <c r="AN239" s="140"/>
      <c r="AO239" s="28" t="str">
        <f t="shared" si="43"/>
        <v/>
      </c>
      <c r="AP239" s="140"/>
      <c r="AQ239" s="28" t="str">
        <f t="shared" si="44"/>
        <v/>
      </c>
      <c r="AR239" s="140"/>
      <c r="AS239" s="28" t="str">
        <f t="shared" si="45"/>
        <v/>
      </c>
      <c r="AT239" s="140"/>
      <c r="AU239" s="28" t="str">
        <f t="shared" si="46"/>
        <v/>
      </c>
      <c r="AV239" s="140"/>
      <c r="AW239" s="28" t="str">
        <f t="shared" si="47"/>
        <v/>
      </c>
      <c r="AX239" s="111" t="str">
        <f t="shared" si="48"/>
        <v/>
      </c>
      <c r="AY239" s="111" t="str">
        <f t="shared" si="49"/>
        <v/>
      </c>
      <c r="AZ239" s="141"/>
      <c r="BA239" s="153" t="str">
        <f t="shared" si="50"/>
        <v>Débil</v>
      </c>
      <c r="BB239" s="22" t="str">
        <f>IFERROR(VLOOKUP((CONCATENATE(AY239,BA239)),Listados!$U$3:$V$11,2,FALSE),"")</f>
        <v/>
      </c>
      <c r="BC239" s="111">
        <f t="shared" si="51"/>
        <v>100</v>
      </c>
      <c r="BD239" s="717"/>
      <c r="BE239" s="761"/>
      <c r="BF239" s="717"/>
      <c r="BG239" s="717"/>
      <c r="BH239" s="713"/>
      <c r="BI239" s="715"/>
      <c r="BJ239" s="713"/>
      <c r="BK239" s="713"/>
      <c r="BL239" s="799"/>
      <c r="BM239" s="800"/>
      <c r="BN239" s="801"/>
      <c r="BO239" s="799"/>
      <c r="BP239" s="800"/>
      <c r="BQ239" s="801"/>
      <c r="BR239" s="799"/>
      <c r="BS239" s="800"/>
      <c r="BT239" s="801"/>
    </row>
    <row r="240" spans="1:72" ht="15" thickBot="1">
      <c r="A240" s="725"/>
      <c r="B240" s="777"/>
      <c r="C240" s="731"/>
      <c r="D240" s="781"/>
      <c r="E240" s="757"/>
      <c r="F240" s="771"/>
      <c r="G240" s="736"/>
      <c r="H240" s="764"/>
      <c r="I240" s="764"/>
      <c r="J240" s="764"/>
      <c r="K240" s="764"/>
      <c r="L240" s="764"/>
      <c r="M240" s="764"/>
      <c r="N240" s="764"/>
      <c r="O240" s="764"/>
      <c r="P240" s="764"/>
      <c r="Q240" s="764"/>
      <c r="R240" s="764"/>
      <c r="S240" s="764"/>
      <c r="T240" s="764"/>
      <c r="U240" s="764"/>
      <c r="V240" s="764"/>
      <c r="W240" s="764"/>
      <c r="X240" s="764"/>
      <c r="Y240" s="764"/>
      <c r="Z240" s="727"/>
      <c r="AA240" s="722"/>
      <c r="AB240" s="727"/>
      <c r="AC240" s="721"/>
      <c r="AD240" s="722" t="str">
        <f>+IF(OR(AB240=1,AB240&lt;=5),"Moderado",IF(OR(AB240=6,AB240&lt;=11),"Mayor","Catastrófico"))</f>
        <v>Moderado</v>
      </c>
      <c r="AE240" s="721"/>
      <c r="AF240" s="715"/>
      <c r="AG240" s="52" t="s">
        <v>467</v>
      </c>
      <c r="AH240" s="145"/>
      <c r="AI240" s="145"/>
      <c r="AJ240" s="145"/>
      <c r="AK240" s="28" t="str">
        <f t="shared" si="41"/>
        <v/>
      </c>
      <c r="AL240" s="145"/>
      <c r="AM240" s="28" t="str">
        <f t="shared" si="42"/>
        <v/>
      </c>
      <c r="AN240" s="140"/>
      <c r="AO240" s="28" t="str">
        <f t="shared" si="43"/>
        <v/>
      </c>
      <c r="AP240" s="140"/>
      <c r="AQ240" s="28" t="str">
        <f t="shared" si="44"/>
        <v/>
      </c>
      <c r="AR240" s="140"/>
      <c r="AS240" s="28" t="str">
        <f t="shared" si="45"/>
        <v/>
      </c>
      <c r="AT240" s="140"/>
      <c r="AU240" s="28" t="str">
        <f t="shared" si="46"/>
        <v/>
      </c>
      <c r="AV240" s="140"/>
      <c r="AW240" s="28" t="str">
        <f t="shared" si="47"/>
        <v/>
      </c>
      <c r="AX240" s="111" t="str">
        <f t="shared" si="48"/>
        <v/>
      </c>
      <c r="AY240" s="111" t="str">
        <f t="shared" si="49"/>
        <v/>
      </c>
      <c r="AZ240" s="141"/>
      <c r="BA240" s="153" t="str">
        <f t="shared" si="50"/>
        <v>Débil</v>
      </c>
      <c r="BB240" s="22" t="str">
        <f>IFERROR(VLOOKUP((CONCATENATE(AY240,BA240)),Listados!$U$3:$V$11,2,FALSE),"")</f>
        <v/>
      </c>
      <c r="BC240" s="111">
        <f t="shared" si="51"/>
        <v>100</v>
      </c>
      <c r="BD240" s="718"/>
      <c r="BE240" s="761"/>
      <c r="BF240" s="718"/>
      <c r="BG240" s="718"/>
      <c r="BH240" s="714"/>
      <c r="BI240" s="715"/>
      <c r="BJ240" s="714"/>
      <c r="BK240" s="714"/>
      <c r="BL240" s="799"/>
      <c r="BM240" s="800"/>
      <c r="BN240" s="801"/>
      <c r="BO240" s="799"/>
      <c r="BP240" s="800"/>
      <c r="BQ240" s="801"/>
      <c r="BR240" s="799"/>
      <c r="BS240" s="800"/>
      <c r="BT240" s="801"/>
    </row>
    <row r="241" spans="1:72" ht="15" thickBot="1">
      <c r="A241" s="723">
        <v>40</v>
      </c>
      <c r="B241" s="776"/>
      <c r="C241" s="729" t="str">
        <f>IFERROR(VLOOKUP(B241,Listados!B$3:C$20,2,FALSE),"")</f>
        <v/>
      </c>
      <c r="D241" s="735" t="s">
        <v>584</v>
      </c>
      <c r="E241" s="105"/>
      <c r="F241" s="18"/>
      <c r="G241" s="735"/>
      <c r="H241" s="763"/>
      <c r="I241" s="763"/>
      <c r="J241" s="763"/>
      <c r="K241" s="763"/>
      <c r="L241" s="763"/>
      <c r="M241" s="763"/>
      <c r="N241" s="763"/>
      <c r="O241" s="763"/>
      <c r="P241" s="763"/>
      <c r="Q241" s="763"/>
      <c r="R241" s="763"/>
      <c r="S241" s="763"/>
      <c r="T241" s="763"/>
      <c r="U241" s="763"/>
      <c r="V241" s="763"/>
      <c r="W241" s="763"/>
      <c r="X241" s="763"/>
      <c r="Y241" s="763"/>
      <c r="Z241" s="762"/>
      <c r="AA241" s="721">
        <f>COUNTIF(H241:Z246, "SI")</f>
        <v>0</v>
      </c>
      <c r="AB241" s="762"/>
      <c r="AC241" s="719" t="e">
        <f>+VLOOKUP(AB241,Listados!$K$8:$L$12,2,0)</f>
        <v>#N/A</v>
      </c>
      <c r="AD241" s="721" t="str">
        <f>+IF(OR(AA241=1,AA241&lt;=5),"Moderado",IF(OR(AA241=6,AA241&lt;=11),"Mayor","Catastrófico"))</f>
        <v>Moderado</v>
      </c>
      <c r="AE241" s="719" t="e">
        <f>+VLOOKUP(AD241,Listados!K247:L251,2,0)</f>
        <v>#N/A</v>
      </c>
      <c r="AF241" s="714" t="str">
        <f>IF(AND(AB241&lt;&gt;"",AD241&lt;&gt;""),VLOOKUP(AB241&amp;AD241,Listados!$M$3:$N$27,2,FALSE),"")</f>
        <v/>
      </c>
      <c r="AG241" s="52" t="s">
        <v>467</v>
      </c>
      <c r="AH241" s="145"/>
      <c r="AI241" s="145"/>
      <c r="AJ241" s="145"/>
      <c r="AK241" s="28" t="str">
        <f t="shared" si="41"/>
        <v/>
      </c>
      <c r="AL241" s="145"/>
      <c r="AM241" s="28" t="str">
        <f t="shared" si="42"/>
        <v/>
      </c>
      <c r="AN241" s="140"/>
      <c r="AO241" s="28" t="str">
        <f t="shared" si="43"/>
        <v/>
      </c>
      <c r="AP241" s="140"/>
      <c r="AQ241" s="28" t="str">
        <f t="shared" si="44"/>
        <v/>
      </c>
      <c r="AR241" s="140"/>
      <c r="AS241" s="28" t="str">
        <f t="shared" si="45"/>
        <v/>
      </c>
      <c r="AT241" s="140"/>
      <c r="AU241" s="28" t="str">
        <f t="shared" si="46"/>
        <v/>
      </c>
      <c r="AV241" s="140"/>
      <c r="AW241" s="28" t="str">
        <f t="shared" si="47"/>
        <v/>
      </c>
      <c r="AX241" s="111" t="str">
        <f t="shared" si="48"/>
        <v/>
      </c>
      <c r="AY241" s="111" t="str">
        <f t="shared" si="49"/>
        <v/>
      </c>
      <c r="AZ241" s="141"/>
      <c r="BA241" s="153" t="str">
        <f t="shared" si="50"/>
        <v>Débil</v>
      </c>
      <c r="BB241" s="22" t="str">
        <f>IFERROR(VLOOKUP((CONCATENATE(AY241,BA241)),Listados!$U$3:$V$11,2,FALSE),"")</f>
        <v/>
      </c>
      <c r="BC241" s="111">
        <f t="shared" si="51"/>
        <v>100</v>
      </c>
      <c r="BD241" s="716">
        <f>AVERAGE(BC241:BC246)</f>
        <v>100</v>
      </c>
      <c r="BE241" s="718" t="str">
        <f>IF(BD241&lt;=50, "Débil", IF(BD241&lt;=99,"Moderado","Fuerte"))</f>
        <v>Fuerte</v>
      </c>
      <c r="BF241" s="716">
        <f>+IF(BE241="Fuerte",2,IF(BE241="Moderado",1,0))</f>
        <v>2</v>
      </c>
      <c r="BG241" s="716" t="e">
        <f>+AC241-BF241</f>
        <v>#N/A</v>
      </c>
      <c r="BH241" s="712" t="e">
        <f>+VLOOKUP(BG241,Listados!$J$18:$K$24,2,TRUE)</f>
        <v>#N/A</v>
      </c>
      <c r="BI241" s="714" t="str">
        <f>IF(ISBLANK(AD241),"",AD241)</f>
        <v>Moderado</v>
      </c>
      <c r="BJ241" s="712" t="e">
        <f>IF(AND(BH241&lt;&gt;"",BI241&lt;&gt;""),VLOOKUP(BH241&amp;BI241,Listados!$M$3:$N$27,2,FALSE),"")</f>
        <v>#N/A</v>
      </c>
      <c r="BK241" s="712" t="e">
        <f>+VLOOKUP(BJ241,Listados!$P$3:$Q$6,2,FALSE)</f>
        <v>#N/A</v>
      </c>
      <c r="BL241" s="799"/>
      <c r="BM241" s="800"/>
      <c r="BN241" s="801"/>
      <c r="BO241" s="799"/>
      <c r="BP241" s="800"/>
      <c r="BQ241" s="801"/>
      <c r="BR241" s="799"/>
      <c r="BS241" s="800"/>
      <c r="BT241" s="801"/>
    </row>
    <row r="242" spans="1:72" ht="15" thickBot="1">
      <c r="A242" s="724"/>
      <c r="B242" s="777"/>
      <c r="C242" s="730"/>
      <c r="D242" s="736"/>
      <c r="E242" s="161"/>
      <c r="F242" s="150"/>
      <c r="G242" s="736"/>
      <c r="H242" s="764"/>
      <c r="I242" s="764"/>
      <c r="J242" s="764"/>
      <c r="K242" s="764"/>
      <c r="L242" s="764"/>
      <c r="M242" s="764"/>
      <c r="N242" s="764"/>
      <c r="O242" s="764"/>
      <c r="P242" s="764"/>
      <c r="Q242" s="764"/>
      <c r="R242" s="764"/>
      <c r="S242" s="764"/>
      <c r="T242" s="764"/>
      <c r="U242" s="764"/>
      <c r="V242" s="764"/>
      <c r="W242" s="764"/>
      <c r="X242" s="764"/>
      <c r="Y242" s="764"/>
      <c r="Z242" s="727"/>
      <c r="AA242" s="722"/>
      <c r="AB242" s="727"/>
      <c r="AC242" s="720"/>
      <c r="AD242" s="722" t="str">
        <f>+IF(OR(AB242=1,AB242&lt;=5),"Moderado",IF(OR(AB242=6,AB242&lt;=11),"Mayor","Catastrófico"))</f>
        <v>Moderado</v>
      </c>
      <c r="AE242" s="720"/>
      <c r="AF242" s="715"/>
      <c r="AG242" s="52" t="s">
        <v>467</v>
      </c>
      <c r="AH242" s="145"/>
      <c r="AI242" s="145"/>
      <c r="AJ242" s="145"/>
      <c r="AK242" s="28" t="str">
        <f t="shared" si="41"/>
        <v/>
      </c>
      <c r="AL242" s="145"/>
      <c r="AM242" s="28" t="str">
        <f t="shared" si="42"/>
        <v/>
      </c>
      <c r="AN242" s="140"/>
      <c r="AO242" s="28" t="str">
        <f t="shared" si="43"/>
        <v/>
      </c>
      <c r="AP242" s="140"/>
      <c r="AQ242" s="28" t="str">
        <f t="shared" si="44"/>
        <v/>
      </c>
      <c r="AR242" s="140"/>
      <c r="AS242" s="28" t="str">
        <f t="shared" si="45"/>
        <v/>
      </c>
      <c r="AT242" s="140"/>
      <c r="AU242" s="28" t="str">
        <f t="shared" si="46"/>
        <v/>
      </c>
      <c r="AV242" s="140"/>
      <c r="AW242" s="28" t="str">
        <f t="shared" si="47"/>
        <v/>
      </c>
      <c r="AX242" s="111" t="str">
        <f t="shared" si="48"/>
        <v/>
      </c>
      <c r="AY242" s="111" t="str">
        <f t="shared" si="49"/>
        <v/>
      </c>
      <c r="AZ242" s="141"/>
      <c r="BA242" s="153" t="str">
        <f t="shared" si="50"/>
        <v>Débil</v>
      </c>
      <c r="BB242" s="22" t="str">
        <f>IFERROR(VLOOKUP((CONCATENATE(AY242,BA242)),Listados!$U$3:$V$11,2,FALSE),"")</f>
        <v/>
      </c>
      <c r="BC242" s="111">
        <f t="shared" si="51"/>
        <v>100</v>
      </c>
      <c r="BD242" s="717"/>
      <c r="BE242" s="761"/>
      <c r="BF242" s="717"/>
      <c r="BG242" s="717"/>
      <c r="BH242" s="713"/>
      <c r="BI242" s="715"/>
      <c r="BJ242" s="713"/>
      <c r="BK242" s="713"/>
      <c r="BL242" s="799"/>
      <c r="BM242" s="800"/>
      <c r="BN242" s="801"/>
      <c r="BO242" s="799"/>
      <c r="BP242" s="800"/>
      <c r="BQ242" s="801"/>
      <c r="BR242" s="799"/>
      <c r="BS242" s="800"/>
      <c r="BT242" s="801"/>
    </row>
    <row r="243" spans="1:72" ht="15" thickBot="1">
      <c r="A243" s="724"/>
      <c r="B243" s="777"/>
      <c r="C243" s="730"/>
      <c r="D243" s="736"/>
      <c r="E243" s="161"/>
      <c r="F243" s="150"/>
      <c r="G243" s="736"/>
      <c r="H243" s="764"/>
      <c r="I243" s="764"/>
      <c r="J243" s="764"/>
      <c r="K243" s="764"/>
      <c r="L243" s="764"/>
      <c r="M243" s="764"/>
      <c r="N243" s="764"/>
      <c r="O243" s="764"/>
      <c r="P243" s="764"/>
      <c r="Q243" s="764"/>
      <c r="R243" s="764"/>
      <c r="S243" s="764"/>
      <c r="T243" s="764"/>
      <c r="U243" s="764"/>
      <c r="V243" s="764"/>
      <c r="W243" s="764"/>
      <c r="X243" s="764"/>
      <c r="Y243" s="764"/>
      <c r="Z243" s="727"/>
      <c r="AA243" s="722"/>
      <c r="AB243" s="727"/>
      <c r="AC243" s="720"/>
      <c r="AD243" s="722" t="str">
        <f>+IF(OR(AB243=1,AB243&lt;=5),"Moderado",IF(OR(AB243=6,AB243&lt;=11),"Mayor","Catastrófico"))</f>
        <v>Moderado</v>
      </c>
      <c r="AE243" s="720"/>
      <c r="AF243" s="715"/>
      <c r="AG243" s="52" t="s">
        <v>467</v>
      </c>
      <c r="AH243" s="145"/>
      <c r="AI243" s="145"/>
      <c r="AJ243" s="145"/>
      <c r="AK243" s="28" t="str">
        <f t="shared" si="41"/>
        <v/>
      </c>
      <c r="AL243" s="145"/>
      <c r="AM243" s="28" t="str">
        <f t="shared" si="42"/>
        <v/>
      </c>
      <c r="AN243" s="140"/>
      <c r="AO243" s="28" t="str">
        <f t="shared" si="43"/>
        <v/>
      </c>
      <c r="AP243" s="140"/>
      <c r="AQ243" s="28" t="str">
        <f t="shared" si="44"/>
        <v/>
      </c>
      <c r="AR243" s="140"/>
      <c r="AS243" s="28" t="str">
        <f t="shared" si="45"/>
        <v/>
      </c>
      <c r="AT243" s="140"/>
      <c r="AU243" s="28" t="str">
        <f t="shared" si="46"/>
        <v/>
      </c>
      <c r="AV243" s="140"/>
      <c r="AW243" s="28" t="str">
        <f t="shared" si="47"/>
        <v/>
      </c>
      <c r="AX243" s="111" t="str">
        <f t="shared" si="48"/>
        <v/>
      </c>
      <c r="AY243" s="111" t="str">
        <f t="shared" si="49"/>
        <v/>
      </c>
      <c r="AZ243" s="141"/>
      <c r="BA243" s="153" t="str">
        <f t="shared" si="50"/>
        <v>Débil</v>
      </c>
      <c r="BB243" s="22" t="str">
        <f>IFERROR(VLOOKUP((CONCATENATE(AY243,BA243)),Listados!$U$3:$V$11,2,FALSE),"")</f>
        <v/>
      </c>
      <c r="BC243" s="111">
        <f t="shared" si="51"/>
        <v>100</v>
      </c>
      <c r="BD243" s="717"/>
      <c r="BE243" s="761"/>
      <c r="BF243" s="717"/>
      <c r="BG243" s="717"/>
      <c r="BH243" s="713"/>
      <c r="BI243" s="715"/>
      <c r="BJ243" s="713"/>
      <c r="BK243" s="713"/>
      <c r="BL243" s="799"/>
      <c r="BM243" s="800"/>
      <c r="BN243" s="801"/>
      <c r="BO243" s="799"/>
      <c r="BP243" s="800"/>
      <c r="BQ243" s="801"/>
      <c r="BR243" s="799"/>
      <c r="BS243" s="800"/>
      <c r="BT243" s="801"/>
    </row>
    <row r="244" spans="1:72" ht="15" thickBot="1">
      <c r="A244" s="724"/>
      <c r="B244" s="777"/>
      <c r="C244" s="730"/>
      <c r="D244" s="736"/>
      <c r="E244" s="755"/>
      <c r="F244" s="769"/>
      <c r="G244" s="736"/>
      <c r="H244" s="764"/>
      <c r="I244" s="764"/>
      <c r="J244" s="764"/>
      <c r="K244" s="764"/>
      <c r="L244" s="764"/>
      <c r="M244" s="764"/>
      <c r="N244" s="764"/>
      <c r="O244" s="764"/>
      <c r="P244" s="764"/>
      <c r="Q244" s="764"/>
      <c r="R244" s="764"/>
      <c r="S244" s="764"/>
      <c r="T244" s="764"/>
      <c r="U244" s="764"/>
      <c r="V244" s="764"/>
      <c r="W244" s="764"/>
      <c r="X244" s="764"/>
      <c r="Y244" s="764"/>
      <c r="Z244" s="727"/>
      <c r="AA244" s="722"/>
      <c r="AB244" s="727"/>
      <c r="AC244" s="720"/>
      <c r="AD244" s="722" t="str">
        <f>+IF(OR(AB244=1,AB244&lt;=5),"Moderado",IF(OR(AB244=6,AB244&lt;=11),"Mayor","Catastrófico"))</f>
        <v>Moderado</v>
      </c>
      <c r="AE244" s="720"/>
      <c r="AF244" s="715"/>
      <c r="AG244" s="52" t="s">
        <v>467</v>
      </c>
      <c r="AH244" s="145"/>
      <c r="AI244" s="145"/>
      <c r="AJ244" s="145"/>
      <c r="AK244" s="28" t="str">
        <f t="shared" si="41"/>
        <v/>
      </c>
      <c r="AL244" s="145"/>
      <c r="AM244" s="28" t="str">
        <f t="shared" si="42"/>
        <v/>
      </c>
      <c r="AN244" s="140"/>
      <c r="AO244" s="28" t="str">
        <f t="shared" si="43"/>
        <v/>
      </c>
      <c r="AP244" s="140"/>
      <c r="AQ244" s="28" t="str">
        <f t="shared" si="44"/>
        <v/>
      </c>
      <c r="AR244" s="140"/>
      <c r="AS244" s="28" t="str">
        <f t="shared" si="45"/>
        <v/>
      </c>
      <c r="AT244" s="140"/>
      <c r="AU244" s="28" t="str">
        <f t="shared" si="46"/>
        <v/>
      </c>
      <c r="AV244" s="140"/>
      <c r="AW244" s="28" t="str">
        <f t="shared" si="47"/>
        <v/>
      </c>
      <c r="AX244" s="111" t="str">
        <f t="shared" si="48"/>
        <v/>
      </c>
      <c r="AY244" s="111" t="str">
        <f t="shared" si="49"/>
        <v/>
      </c>
      <c r="AZ244" s="141"/>
      <c r="BA244" s="153" t="str">
        <f t="shared" si="50"/>
        <v>Débil</v>
      </c>
      <c r="BB244" s="22" t="str">
        <f>IFERROR(VLOOKUP((CONCATENATE(AY244,BA244)),Listados!$U$3:$V$11,2,FALSE),"")</f>
        <v/>
      </c>
      <c r="BC244" s="111">
        <f t="shared" si="51"/>
        <v>100</v>
      </c>
      <c r="BD244" s="717"/>
      <c r="BE244" s="761"/>
      <c r="BF244" s="717"/>
      <c r="BG244" s="717"/>
      <c r="BH244" s="713"/>
      <c r="BI244" s="715"/>
      <c r="BJ244" s="713"/>
      <c r="BK244" s="713"/>
      <c r="BL244" s="799"/>
      <c r="BM244" s="800"/>
      <c r="BN244" s="801"/>
      <c r="BO244" s="799"/>
      <c r="BP244" s="800"/>
      <c r="BQ244" s="801"/>
      <c r="BR244" s="799"/>
      <c r="BS244" s="800"/>
      <c r="BT244" s="801"/>
    </row>
    <row r="245" spans="1:72" ht="15" thickBot="1">
      <c r="A245" s="724"/>
      <c r="B245" s="777"/>
      <c r="C245" s="730"/>
      <c r="D245" s="736"/>
      <c r="E245" s="756"/>
      <c r="F245" s="770"/>
      <c r="G245" s="736"/>
      <c r="H245" s="764"/>
      <c r="I245" s="764"/>
      <c r="J245" s="764"/>
      <c r="K245" s="764"/>
      <c r="L245" s="764"/>
      <c r="M245" s="764"/>
      <c r="N245" s="764"/>
      <c r="O245" s="764"/>
      <c r="P245" s="764"/>
      <c r="Q245" s="764"/>
      <c r="R245" s="764"/>
      <c r="S245" s="764"/>
      <c r="T245" s="764"/>
      <c r="U245" s="764"/>
      <c r="V245" s="764"/>
      <c r="W245" s="764"/>
      <c r="X245" s="764"/>
      <c r="Y245" s="764"/>
      <c r="Z245" s="727"/>
      <c r="AA245" s="722"/>
      <c r="AB245" s="727"/>
      <c r="AC245" s="720"/>
      <c r="AD245" s="722" t="str">
        <f>+IF(OR(AB245=1,AB245&lt;=5),"Moderado",IF(OR(AB245=6,AB245&lt;=11),"Mayor","Catastrófico"))</f>
        <v>Moderado</v>
      </c>
      <c r="AE245" s="720"/>
      <c r="AF245" s="715"/>
      <c r="AG245" s="52" t="s">
        <v>467</v>
      </c>
      <c r="AH245" s="145"/>
      <c r="AI245" s="145"/>
      <c r="AJ245" s="145"/>
      <c r="AK245" s="28" t="str">
        <f t="shared" si="41"/>
        <v/>
      </c>
      <c r="AL245" s="145"/>
      <c r="AM245" s="28" t="str">
        <f t="shared" si="42"/>
        <v/>
      </c>
      <c r="AN245" s="140"/>
      <c r="AO245" s="28" t="str">
        <f t="shared" si="43"/>
        <v/>
      </c>
      <c r="AP245" s="140"/>
      <c r="AQ245" s="28" t="str">
        <f t="shared" si="44"/>
        <v/>
      </c>
      <c r="AR245" s="140"/>
      <c r="AS245" s="28" t="str">
        <f t="shared" si="45"/>
        <v/>
      </c>
      <c r="AT245" s="140"/>
      <c r="AU245" s="28" t="str">
        <f t="shared" si="46"/>
        <v/>
      </c>
      <c r="AV245" s="140"/>
      <c r="AW245" s="28" t="str">
        <f t="shared" si="47"/>
        <v/>
      </c>
      <c r="AX245" s="111" t="str">
        <f t="shared" si="48"/>
        <v/>
      </c>
      <c r="AY245" s="111" t="str">
        <f t="shared" si="49"/>
        <v/>
      </c>
      <c r="AZ245" s="141"/>
      <c r="BA245" s="153" t="str">
        <f t="shared" si="50"/>
        <v>Débil</v>
      </c>
      <c r="BB245" s="22" t="str">
        <f>IFERROR(VLOOKUP((CONCATENATE(AY245,BA245)),Listados!$U$3:$V$11,2,FALSE),"")</f>
        <v/>
      </c>
      <c r="BC245" s="111">
        <f t="shared" si="51"/>
        <v>100</v>
      </c>
      <c r="BD245" s="717"/>
      <c r="BE245" s="761"/>
      <c r="BF245" s="717"/>
      <c r="BG245" s="717"/>
      <c r="BH245" s="713"/>
      <c r="BI245" s="715"/>
      <c r="BJ245" s="713"/>
      <c r="BK245" s="713"/>
      <c r="BL245" s="799"/>
      <c r="BM245" s="800"/>
      <c r="BN245" s="801"/>
      <c r="BO245" s="799"/>
      <c r="BP245" s="800"/>
      <c r="BQ245" s="801"/>
      <c r="BR245" s="799"/>
      <c r="BS245" s="800"/>
      <c r="BT245" s="801"/>
    </row>
    <row r="246" spans="1:72" ht="15" thickBot="1">
      <c r="A246" s="725"/>
      <c r="B246" s="777"/>
      <c r="C246" s="731"/>
      <c r="D246" s="781"/>
      <c r="E246" s="757"/>
      <c r="F246" s="771"/>
      <c r="G246" s="736"/>
      <c r="H246" s="764"/>
      <c r="I246" s="764"/>
      <c r="J246" s="764"/>
      <c r="K246" s="764"/>
      <c r="L246" s="764"/>
      <c r="M246" s="764"/>
      <c r="N246" s="764"/>
      <c r="O246" s="764"/>
      <c r="P246" s="764"/>
      <c r="Q246" s="764"/>
      <c r="R246" s="764"/>
      <c r="S246" s="764"/>
      <c r="T246" s="764"/>
      <c r="U246" s="764"/>
      <c r="V246" s="764"/>
      <c r="W246" s="764"/>
      <c r="X246" s="764"/>
      <c r="Y246" s="764"/>
      <c r="Z246" s="727"/>
      <c r="AA246" s="722"/>
      <c r="AB246" s="727"/>
      <c r="AC246" s="721"/>
      <c r="AD246" s="722" t="str">
        <f>+IF(OR(AB246=1,AB246&lt;=5),"Moderado",IF(OR(AB246=6,AB246&lt;=11),"Mayor","Catastrófico"))</f>
        <v>Moderado</v>
      </c>
      <c r="AE246" s="721"/>
      <c r="AF246" s="715"/>
      <c r="AG246" s="52" t="s">
        <v>467</v>
      </c>
      <c r="AH246" s="145"/>
      <c r="AI246" s="145"/>
      <c r="AJ246" s="145"/>
      <c r="AK246" s="28" t="str">
        <f t="shared" si="41"/>
        <v/>
      </c>
      <c r="AL246" s="145"/>
      <c r="AM246" s="28" t="str">
        <f t="shared" si="42"/>
        <v/>
      </c>
      <c r="AN246" s="140"/>
      <c r="AO246" s="28" t="str">
        <f t="shared" si="43"/>
        <v/>
      </c>
      <c r="AP246" s="140"/>
      <c r="AQ246" s="28" t="str">
        <f t="shared" si="44"/>
        <v/>
      </c>
      <c r="AR246" s="140"/>
      <c r="AS246" s="28" t="str">
        <f t="shared" si="45"/>
        <v/>
      </c>
      <c r="AT246" s="140"/>
      <c r="AU246" s="28" t="str">
        <f t="shared" si="46"/>
        <v/>
      </c>
      <c r="AV246" s="140"/>
      <c r="AW246" s="28" t="str">
        <f t="shared" si="47"/>
        <v/>
      </c>
      <c r="AX246" s="111" t="str">
        <f t="shared" si="48"/>
        <v/>
      </c>
      <c r="AY246" s="111" t="str">
        <f t="shared" si="49"/>
        <v/>
      </c>
      <c r="AZ246" s="141"/>
      <c r="BA246" s="153" t="str">
        <f t="shared" si="50"/>
        <v>Débil</v>
      </c>
      <c r="BB246" s="22" t="str">
        <f>IFERROR(VLOOKUP((CONCATENATE(AY246,BA246)),Listados!$U$3:$V$11,2,FALSE),"")</f>
        <v/>
      </c>
      <c r="BC246" s="111">
        <f t="shared" si="51"/>
        <v>100</v>
      </c>
      <c r="BD246" s="718"/>
      <c r="BE246" s="761"/>
      <c r="BF246" s="718"/>
      <c r="BG246" s="718"/>
      <c r="BH246" s="714"/>
      <c r="BI246" s="715"/>
      <c r="BJ246" s="714"/>
      <c r="BK246" s="714"/>
      <c r="BL246" s="799"/>
      <c r="BM246" s="800"/>
      <c r="BN246" s="801"/>
      <c r="BO246" s="799"/>
      <c r="BP246" s="800"/>
      <c r="BQ246" s="801"/>
      <c r="BR246" s="799"/>
      <c r="BS246" s="800"/>
      <c r="BT246" s="801"/>
    </row>
    <row r="247" spans="1:72" ht="15" thickBot="1">
      <c r="A247" s="723">
        <v>41</v>
      </c>
      <c r="B247" s="776"/>
      <c r="C247" s="729" t="str">
        <f>IFERROR(VLOOKUP(B247,Listados!B$3:C$20,2,FALSE),"")</f>
        <v/>
      </c>
      <c r="D247" s="735" t="s">
        <v>584</v>
      </c>
      <c r="E247" s="105"/>
      <c r="F247" s="18"/>
      <c r="G247" s="735"/>
      <c r="H247" s="763"/>
      <c r="I247" s="763"/>
      <c r="J247" s="763"/>
      <c r="K247" s="763"/>
      <c r="L247" s="763"/>
      <c r="M247" s="763"/>
      <c r="N247" s="763"/>
      <c r="O247" s="763"/>
      <c r="P247" s="763"/>
      <c r="Q247" s="763"/>
      <c r="R247" s="763"/>
      <c r="S247" s="763"/>
      <c r="T247" s="763"/>
      <c r="U247" s="763"/>
      <c r="V247" s="763"/>
      <c r="W247" s="763"/>
      <c r="X247" s="763"/>
      <c r="Y247" s="763"/>
      <c r="Z247" s="762"/>
      <c r="AA247" s="721">
        <f>COUNTIF(H247:Z252, "SI")</f>
        <v>0</v>
      </c>
      <c r="AB247" s="762"/>
      <c r="AC247" s="719" t="e">
        <f>+VLOOKUP(AB247,Listados!$K$8:$L$12,2,0)</f>
        <v>#N/A</v>
      </c>
      <c r="AD247" s="721" t="str">
        <f>+IF(OR(AA247=1,AA247&lt;=5),"Moderado",IF(OR(AA247=6,AA247&lt;=11),"Mayor","Catastrófico"))</f>
        <v>Moderado</v>
      </c>
      <c r="AE247" s="719" t="e">
        <f>+VLOOKUP(AD247,Listados!K253:L257,2,0)</f>
        <v>#N/A</v>
      </c>
      <c r="AF247" s="714" t="str">
        <f>IF(AND(AB247&lt;&gt;"",AD247&lt;&gt;""),VLOOKUP(AB247&amp;AD247,Listados!$M$3:$N$27,2,FALSE),"")</f>
        <v/>
      </c>
      <c r="AG247" s="52" t="s">
        <v>467</v>
      </c>
      <c r="AH247" s="145"/>
      <c r="AI247" s="145"/>
      <c r="AJ247" s="145"/>
      <c r="AK247" s="28" t="str">
        <f t="shared" si="41"/>
        <v/>
      </c>
      <c r="AL247" s="145"/>
      <c r="AM247" s="28" t="str">
        <f t="shared" si="42"/>
        <v/>
      </c>
      <c r="AN247" s="140"/>
      <c r="AO247" s="28" t="str">
        <f t="shared" si="43"/>
        <v/>
      </c>
      <c r="AP247" s="140"/>
      <c r="AQ247" s="28" t="str">
        <f t="shared" si="44"/>
        <v/>
      </c>
      <c r="AR247" s="140"/>
      <c r="AS247" s="28" t="str">
        <f t="shared" si="45"/>
        <v/>
      </c>
      <c r="AT247" s="140"/>
      <c r="AU247" s="28" t="str">
        <f t="shared" si="46"/>
        <v/>
      </c>
      <c r="AV247" s="140"/>
      <c r="AW247" s="28" t="str">
        <f t="shared" si="47"/>
        <v/>
      </c>
      <c r="AX247" s="111" t="str">
        <f t="shared" si="48"/>
        <v/>
      </c>
      <c r="AY247" s="111" t="str">
        <f t="shared" si="49"/>
        <v/>
      </c>
      <c r="AZ247" s="141"/>
      <c r="BA247" s="153" t="str">
        <f t="shared" si="50"/>
        <v>Débil</v>
      </c>
      <c r="BB247" s="22" t="str">
        <f>IFERROR(VLOOKUP((CONCATENATE(AY247,BA247)),Listados!$U$3:$V$11,2,FALSE),"")</f>
        <v/>
      </c>
      <c r="BC247" s="111">
        <f t="shared" si="51"/>
        <v>100</v>
      </c>
      <c r="BD247" s="716">
        <f>AVERAGE(BC247:BC252)</f>
        <v>100</v>
      </c>
      <c r="BE247" s="718" t="str">
        <f>IF(BD247&lt;=50, "Débil", IF(BD247&lt;=99,"Moderado","Fuerte"))</f>
        <v>Fuerte</v>
      </c>
      <c r="BF247" s="716">
        <f>+IF(BE247="Fuerte",2,IF(BE247="Moderado",1,0))</f>
        <v>2</v>
      </c>
      <c r="BG247" s="716" t="e">
        <f>+AC247-BF247</f>
        <v>#N/A</v>
      </c>
      <c r="BH247" s="712" t="e">
        <f>+VLOOKUP(BG247,Listados!$J$18:$K$24,2,TRUE)</f>
        <v>#N/A</v>
      </c>
      <c r="BI247" s="714" t="str">
        <f>IF(ISBLANK(AD247),"",AD247)</f>
        <v>Moderado</v>
      </c>
      <c r="BJ247" s="712" t="e">
        <f>IF(AND(BH247&lt;&gt;"",BI247&lt;&gt;""),VLOOKUP(BH247&amp;BI247,Listados!$M$3:$N$27,2,FALSE),"")</f>
        <v>#N/A</v>
      </c>
      <c r="BK247" s="712" t="e">
        <f>+VLOOKUP(BJ247,Listados!$P$3:$Q$6,2,FALSE)</f>
        <v>#N/A</v>
      </c>
      <c r="BL247" s="799"/>
      <c r="BM247" s="800"/>
      <c r="BN247" s="801"/>
      <c r="BO247" s="799"/>
      <c r="BP247" s="800"/>
      <c r="BQ247" s="801"/>
      <c r="BR247" s="799"/>
      <c r="BS247" s="800"/>
      <c r="BT247" s="801"/>
    </row>
    <row r="248" spans="1:72" ht="15" thickBot="1">
      <c r="A248" s="724"/>
      <c r="B248" s="777"/>
      <c r="C248" s="730"/>
      <c r="D248" s="736"/>
      <c r="E248" s="161"/>
      <c r="F248" s="150"/>
      <c r="G248" s="736"/>
      <c r="H248" s="764"/>
      <c r="I248" s="764"/>
      <c r="J248" s="764"/>
      <c r="K248" s="764"/>
      <c r="L248" s="764"/>
      <c r="M248" s="764"/>
      <c r="N248" s="764"/>
      <c r="O248" s="764"/>
      <c r="P248" s="764"/>
      <c r="Q248" s="764"/>
      <c r="R248" s="764"/>
      <c r="S248" s="764"/>
      <c r="T248" s="764"/>
      <c r="U248" s="764"/>
      <c r="V248" s="764"/>
      <c r="W248" s="764"/>
      <c r="X248" s="764"/>
      <c r="Y248" s="764"/>
      <c r="Z248" s="727"/>
      <c r="AA248" s="722"/>
      <c r="AB248" s="727"/>
      <c r="AC248" s="720"/>
      <c r="AD248" s="722" t="str">
        <f>+IF(OR(AB248=1,AB248&lt;=5),"Moderado",IF(OR(AB248=6,AB248&lt;=11),"Mayor","Catastrófico"))</f>
        <v>Moderado</v>
      </c>
      <c r="AE248" s="720"/>
      <c r="AF248" s="715"/>
      <c r="AG248" s="52" t="s">
        <v>467</v>
      </c>
      <c r="AH248" s="145"/>
      <c r="AI248" s="145"/>
      <c r="AJ248" s="145"/>
      <c r="AK248" s="28" t="str">
        <f t="shared" si="41"/>
        <v/>
      </c>
      <c r="AL248" s="145"/>
      <c r="AM248" s="28" t="str">
        <f t="shared" si="42"/>
        <v/>
      </c>
      <c r="AN248" s="140"/>
      <c r="AO248" s="28" t="str">
        <f t="shared" si="43"/>
        <v/>
      </c>
      <c r="AP248" s="140"/>
      <c r="AQ248" s="28" t="str">
        <f t="shared" si="44"/>
        <v/>
      </c>
      <c r="AR248" s="140"/>
      <c r="AS248" s="28" t="str">
        <f t="shared" si="45"/>
        <v/>
      </c>
      <c r="AT248" s="140"/>
      <c r="AU248" s="28" t="str">
        <f t="shared" si="46"/>
        <v/>
      </c>
      <c r="AV248" s="140"/>
      <c r="AW248" s="28" t="str">
        <f t="shared" si="47"/>
        <v/>
      </c>
      <c r="AX248" s="111" t="str">
        <f t="shared" si="48"/>
        <v/>
      </c>
      <c r="AY248" s="111" t="str">
        <f t="shared" si="49"/>
        <v/>
      </c>
      <c r="AZ248" s="141"/>
      <c r="BA248" s="153" t="str">
        <f t="shared" si="50"/>
        <v>Débil</v>
      </c>
      <c r="BB248" s="22" t="str">
        <f>IFERROR(VLOOKUP((CONCATENATE(AY248,BA248)),Listados!$U$3:$V$11,2,FALSE),"")</f>
        <v/>
      </c>
      <c r="BC248" s="111">
        <f t="shared" si="51"/>
        <v>100</v>
      </c>
      <c r="BD248" s="717"/>
      <c r="BE248" s="761"/>
      <c r="BF248" s="717"/>
      <c r="BG248" s="717"/>
      <c r="BH248" s="713"/>
      <c r="BI248" s="715"/>
      <c r="BJ248" s="713"/>
      <c r="BK248" s="713"/>
      <c r="BL248" s="799"/>
      <c r="BM248" s="800"/>
      <c r="BN248" s="801"/>
      <c r="BO248" s="799"/>
      <c r="BP248" s="800"/>
      <c r="BQ248" s="801"/>
      <c r="BR248" s="799"/>
      <c r="BS248" s="800"/>
      <c r="BT248" s="801"/>
    </row>
    <row r="249" spans="1:72" ht="15" thickBot="1">
      <c r="A249" s="724"/>
      <c r="B249" s="777"/>
      <c r="C249" s="730"/>
      <c r="D249" s="736"/>
      <c r="E249" s="161"/>
      <c r="F249" s="150"/>
      <c r="G249" s="736"/>
      <c r="H249" s="764"/>
      <c r="I249" s="764"/>
      <c r="J249" s="764"/>
      <c r="K249" s="764"/>
      <c r="L249" s="764"/>
      <c r="M249" s="764"/>
      <c r="N249" s="764"/>
      <c r="O249" s="764"/>
      <c r="P249" s="764"/>
      <c r="Q249" s="764"/>
      <c r="R249" s="764"/>
      <c r="S249" s="764"/>
      <c r="T249" s="764"/>
      <c r="U249" s="764"/>
      <c r="V249" s="764"/>
      <c r="W249" s="764"/>
      <c r="X249" s="764"/>
      <c r="Y249" s="764"/>
      <c r="Z249" s="727"/>
      <c r="AA249" s="722"/>
      <c r="AB249" s="727"/>
      <c r="AC249" s="720"/>
      <c r="AD249" s="722" t="str">
        <f>+IF(OR(AB249=1,AB249&lt;=5),"Moderado",IF(OR(AB249=6,AB249&lt;=11),"Mayor","Catastrófico"))</f>
        <v>Moderado</v>
      </c>
      <c r="AE249" s="720"/>
      <c r="AF249" s="715"/>
      <c r="AG249" s="52" t="s">
        <v>467</v>
      </c>
      <c r="AH249" s="145"/>
      <c r="AI249" s="145"/>
      <c r="AJ249" s="145"/>
      <c r="AK249" s="28" t="str">
        <f t="shared" si="41"/>
        <v/>
      </c>
      <c r="AL249" s="145"/>
      <c r="AM249" s="28" t="str">
        <f t="shared" si="42"/>
        <v/>
      </c>
      <c r="AN249" s="140"/>
      <c r="AO249" s="28" t="str">
        <f t="shared" si="43"/>
        <v/>
      </c>
      <c r="AP249" s="140"/>
      <c r="AQ249" s="28" t="str">
        <f t="shared" si="44"/>
        <v/>
      </c>
      <c r="AR249" s="140"/>
      <c r="AS249" s="28" t="str">
        <f t="shared" si="45"/>
        <v/>
      </c>
      <c r="AT249" s="140"/>
      <c r="AU249" s="28" t="str">
        <f t="shared" si="46"/>
        <v/>
      </c>
      <c r="AV249" s="140"/>
      <c r="AW249" s="28" t="str">
        <f t="shared" si="47"/>
        <v/>
      </c>
      <c r="AX249" s="111" t="str">
        <f t="shared" si="48"/>
        <v/>
      </c>
      <c r="AY249" s="111" t="str">
        <f t="shared" si="49"/>
        <v/>
      </c>
      <c r="AZ249" s="141"/>
      <c r="BA249" s="153" t="str">
        <f t="shared" si="50"/>
        <v>Débil</v>
      </c>
      <c r="BB249" s="22" t="str">
        <f>IFERROR(VLOOKUP((CONCATENATE(AY249,BA249)),Listados!$U$3:$V$11,2,FALSE),"")</f>
        <v/>
      </c>
      <c r="BC249" s="111">
        <f t="shared" si="51"/>
        <v>100</v>
      </c>
      <c r="BD249" s="717"/>
      <c r="BE249" s="761"/>
      <c r="BF249" s="717"/>
      <c r="BG249" s="717"/>
      <c r="BH249" s="713"/>
      <c r="BI249" s="715"/>
      <c r="BJ249" s="713"/>
      <c r="BK249" s="713"/>
      <c r="BL249" s="799"/>
      <c r="BM249" s="800"/>
      <c r="BN249" s="801"/>
      <c r="BO249" s="799"/>
      <c r="BP249" s="800"/>
      <c r="BQ249" s="801"/>
      <c r="BR249" s="799"/>
      <c r="BS249" s="800"/>
      <c r="BT249" s="801"/>
    </row>
    <row r="250" spans="1:72" ht="15" thickBot="1">
      <c r="A250" s="724"/>
      <c r="B250" s="777"/>
      <c r="C250" s="730"/>
      <c r="D250" s="736"/>
      <c r="E250" s="755"/>
      <c r="F250" s="769"/>
      <c r="G250" s="736"/>
      <c r="H250" s="764"/>
      <c r="I250" s="764"/>
      <c r="J250" s="764"/>
      <c r="K250" s="764"/>
      <c r="L250" s="764"/>
      <c r="M250" s="764"/>
      <c r="N250" s="764"/>
      <c r="O250" s="764"/>
      <c r="P250" s="764"/>
      <c r="Q250" s="764"/>
      <c r="R250" s="764"/>
      <c r="S250" s="764"/>
      <c r="T250" s="764"/>
      <c r="U250" s="764"/>
      <c r="V250" s="764"/>
      <c r="W250" s="764"/>
      <c r="X250" s="764"/>
      <c r="Y250" s="764"/>
      <c r="Z250" s="727"/>
      <c r="AA250" s="722"/>
      <c r="AB250" s="727"/>
      <c r="AC250" s="720"/>
      <c r="AD250" s="722" t="str">
        <f>+IF(OR(AB250=1,AB250&lt;=5),"Moderado",IF(OR(AB250=6,AB250&lt;=11),"Mayor","Catastrófico"))</f>
        <v>Moderado</v>
      </c>
      <c r="AE250" s="720"/>
      <c r="AF250" s="715"/>
      <c r="AG250" s="52" t="s">
        <v>467</v>
      </c>
      <c r="AH250" s="145"/>
      <c r="AI250" s="145"/>
      <c r="AJ250" s="145"/>
      <c r="AK250" s="28" t="str">
        <f t="shared" si="41"/>
        <v/>
      </c>
      <c r="AL250" s="145"/>
      <c r="AM250" s="28" t="str">
        <f t="shared" si="42"/>
        <v/>
      </c>
      <c r="AN250" s="140"/>
      <c r="AO250" s="28" t="str">
        <f t="shared" si="43"/>
        <v/>
      </c>
      <c r="AP250" s="140"/>
      <c r="AQ250" s="28" t="str">
        <f t="shared" si="44"/>
        <v/>
      </c>
      <c r="AR250" s="140"/>
      <c r="AS250" s="28" t="str">
        <f t="shared" si="45"/>
        <v/>
      </c>
      <c r="AT250" s="140"/>
      <c r="AU250" s="28" t="str">
        <f t="shared" si="46"/>
        <v/>
      </c>
      <c r="AV250" s="140"/>
      <c r="AW250" s="28" t="str">
        <f t="shared" si="47"/>
        <v/>
      </c>
      <c r="AX250" s="111" t="str">
        <f t="shared" si="48"/>
        <v/>
      </c>
      <c r="AY250" s="111" t="str">
        <f t="shared" si="49"/>
        <v/>
      </c>
      <c r="AZ250" s="141"/>
      <c r="BA250" s="153" t="str">
        <f t="shared" si="50"/>
        <v>Débil</v>
      </c>
      <c r="BB250" s="22" t="str">
        <f>IFERROR(VLOOKUP((CONCATENATE(AY250,BA250)),Listados!$U$3:$V$11,2,FALSE),"")</f>
        <v/>
      </c>
      <c r="BC250" s="111">
        <f t="shared" si="51"/>
        <v>100</v>
      </c>
      <c r="BD250" s="717"/>
      <c r="BE250" s="761"/>
      <c r="BF250" s="717"/>
      <c r="BG250" s="717"/>
      <c r="BH250" s="713"/>
      <c r="BI250" s="715"/>
      <c r="BJ250" s="713"/>
      <c r="BK250" s="713"/>
      <c r="BL250" s="799"/>
      <c r="BM250" s="800"/>
      <c r="BN250" s="801"/>
      <c r="BO250" s="799"/>
      <c r="BP250" s="800"/>
      <c r="BQ250" s="801"/>
      <c r="BR250" s="799"/>
      <c r="BS250" s="800"/>
      <c r="BT250" s="801"/>
    </row>
    <row r="251" spans="1:72" ht="15" thickBot="1">
      <c r="A251" s="724"/>
      <c r="B251" s="777"/>
      <c r="C251" s="730"/>
      <c r="D251" s="736"/>
      <c r="E251" s="756"/>
      <c r="F251" s="770"/>
      <c r="G251" s="736"/>
      <c r="H251" s="764"/>
      <c r="I251" s="764"/>
      <c r="J251" s="764"/>
      <c r="K251" s="764"/>
      <c r="L251" s="764"/>
      <c r="M251" s="764"/>
      <c r="N251" s="764"/>
      <c r="O251" s="764"/>
      <c r="P251" s="764"/>
      <c r="Q251" s="764"/>
      <c r="R251" s="764"/>
      <c r="S251" s="764"/>
      <c r="T251" s="764"/>
      <c r="U251" s="764"/>
      <c r="V251" s="764"/>
      <c r="W251" s="764"/>
      <c r="X251" s="764"/>
      <c r="Y251" s="764"/>
      <c r="Z251" s="727"/>
      <c r="AA251" s="722"/>
      <c r="AB251" s="727"/>
      <c r="AC251" s="720"/>
      <c r="AD251" s="722" t="str">
        <f>+IF(OR(AB251=1,AB251&lt;=5),"Moderado",IF(OR(AB251=6,AB251&lt;=11),"Mayor","Catastrófico"))</f>
        <v>Moderado</v>
      </c>
      <c r="AE251" s="720"/>
      <c r="AF251" s="715"/>
      <c r="AG251" s="52" t="s">
        <v>467</v>
      </c>
      <c r="AH251" s="145"/>
      <c r="AI251" s="145"/>
      <c r="AJ251" s="145"/>
      <c r="AK251" s="28" t="str">
        <f t="shared" si="41"/>
        <v/>
      </c>
      <c r="AL251" s="145"/>
      <c r="AM251" s="28" t="str">
        <f t="shared" si="42"/>
        <v/>
      </c>
      <c r="AN251" s="140"/>
      <c r="AO251" s="28" t="str">
        <f t="shared" si="43"/>
        <v/>
      </c>
      <c r="AP251" s="140"/>
      <c r="AQ251" s="28" t="str">
        <f t="shared" si="44"/>
        <v/>
      </c>
      <c r="AR251" s="140"/>
      <c r="AS251" s="28" t="str">
        <f t="shared" si="45"/>
        <v/>
      </c>
      <c r="AT251" s="140"/>
      <c r="AU251" s="28" t="str">
        <f t="shared" si="46"/>
        <v/>
      </c>
      <c r="AV251" s="140"/>
      <c r="AW251" s="28" t="str">
        <f t="shared" si="47"/>
        <v/>
      </c>
      <c r="AX251" s="111" t="str">
        <f t="shared" si="48"/>
        <v/>
      </c>
      <c r="AY251" s="111" t="str">
        <f t="shared" si="49"/>
        <v/>
      </c>
      <c r="AZ251" s="141"/>
      <c r="BA251" s="153" t="str">
        <f t="shared" si="50"/>
        <v>Débil</v>
      </c>
      <c r="BB251" s="22" t="str">
        <f>IFERROR(VLOOKUP((CONCATENATE(AY251,BA251)),Listados!$U$3:$V$11,2,FALSE),"")</f>
        <v/>
      </c>
      <c r="BC251" s="111">
        <f t="shared" si="51"/>
        <v>100</v>
      </c>
      <c r="BD251" s="717"/>
      <c r="BE251" s="761"/>
      <c r="BF251" s="717"/>
      <c r="BG251" s="717"/>
      <c r="BH251" s="713"/>
      <c r="BI251" s="715"/>
      <c r="BJ251" s="713"/>
      <c r="BK251" s="713"/>
      <c r="BL251" s="799"/>
      <c r="BM251" s="800"/>
      <c r="BN251" s="801"/>
      <c r="BO251" s="799"/>
      <c r="BP251" s="800"/>
      <c r="BQ251" s="801"/>
      <c r="BR251" s="799"/>
      <c r="BS251" s="800"/>
      <c r="BT251" s="801"/>
    </row>
    <row r="252" spans="1:72" ht="15" thickBot="1">
      <c r="A252" s="725"/>
      <c r="B252" s="777"/>
      <c r="C252" s="731"/>
      <c r="D252" s="781"/>
      <c r="E252" s="757"/>
      <c r="F252" s="771"/>
      <c r="G252" s="736"/>
      <c r="H252" s="764"/>
      <c r="I252" s="764"/>
      <c r="J252" s="764"/>
      <c r="K252" s="764"/>
      <c r="L252" s="764"/>
      <c r="M252" s="764"/>
      <c r="N252" s="764"/>
      <c r="O252" s="764"/>
      <c r="P252" s="764"/>
      <c r="Q252" s="764"/>
      <c r="R252" s="764"/>
      <c r="S252" s="764"/>
      <c r="T252" s="764"/>
      <c r="U252" s="764"/>
      <c r="V252" s="764"/>
      <c r="W252" s="764"/>
      <c r="X252" s="764"/>
      <c r="Y252" s="764"/>
      <c r="Z252" s="727"/>
      <c r="AA252" s="722"/>
      <c r="AB252" s="727"/>
      <c r="AC252" s="721"/>
      <c r="AD252" s="722" t="str">
        <f>+IF(OR(AB252=1,AB252&lt;=5),"Moderado",IF(OR(AB252=6,AB252&lt;=11),"Mayor","Catastrófico"))</f>
        <v>Moderado</v>
      </c>
      <c r="AE252" s="721"/>
      <c r="AF252" s="715"/>
      <c r="AG252" s="52" t="s">
        <v>467</v>
      </c>
      <c r="AH252" s="145"/>
      <c r="AI252" s="145"/>
      <c r="AJ252" s="145"/>
      <c r="AK252" s="28" t="str">
        <f t="shared" si="41"/>
        <v/>
      </c>
      <c r="AL252" s="145"/>
      <c r="AM252" s="28" t="str">
        <f t="shared" si="42"/>
        <v/>
      </c>
      <c r="AN252" s="140"/>
      <c r="AO252" s="28" t="str">
        <f t="shared" si="43"/>
        <v/>
      </c>
      <c r="AP252" s="140"/>
      <c r="AQ252" s="28" t="str">
        <f t="shared" si="44"/>
        <v/>
      </c>
      <c r="AR252" s="140"/>
      <c r="AS252" s="28" t="str">
        <f t="shared" si="45"/>
        <v/>
      </c>
      <c r="AT252" s="140"/>
      <c r="AU252" s="28" t="str">
        <f t="shared" si="46"/>
        <v/>
      </c>
      <c r="AV252" s="140"/>
      <c r="AW252" s="28" t="str">
        <f t="shared" si="47"/>
        <v/>
      </c>
      <c r="AX252" s="111" t="str">
        <f t="shared" si="48"/>
        <v/>
      </c>
      <c r="AY252" s="111" t="str">
        <f t="shared" si="49"/>
        <v/>
      </c>
      <c r="AZ252" s="141"/>
      <c r="BA252" s="153" t="str">
        <f t="shared" si="50"/>
        <v>Débil</v>
      </c>
      <c r="BB252" s="22" t="str">
        <f>IFERROR(VLOOKUP((CONCATENATE(AY252,BA252)),Listados!$U$3:$V$11,2,FALSE),"")</f>
        <v/>
      </c>
      <c r="BC252" s="111">
        <f t="shared" si="51"/>
        <v>100</v>
      </c>
      <c r="BD252" s="718"/>
      <c r="BE252" s="761"/>
      <c r="BF252" s="718"/>
      <c r="BG252" s="718"/>
      <c r="BH252" s="714"/>
      <c r="BI252" s="715"/>
      <c r="BJ252" s="714"/>
      <c r="BK252" s="714"/>
      <c r="BL252" s="799"/>
      <c r="BM252" s="800"/>
      <c r="BN252" s="801"/>
      <c r="BO252" s="799"/>
      <c r="BP252" s="800"/>
      <c r="BQ252" s="801"/>
      <c r="BR252" s="799"/>
      <c r="BS252" s="800"/>
      <c r="BT252" s="801"/>
    </row>
    <row r="253" spans="1:72" ht="15" thickBot="1">
      <c r="A253" s="723">
        <v>42</v>
      </c>
      <c r="B253" s="776"/>
      <c r="C253" s="729" t="str">
        <f>IFERROR(VLOOKUP(B253,Listados!B$3:C$20,2,FALSE),"")</f>
        <v/>
      </c>
      <c r="D253" s="735" t="s">
        <v>584</v>
      </c>
      <c r="E253" s="105"/>
      <c r="F253" s="18"/>
      <c r="G253" s="735"/>
      <c r="H253" s="763"/>
      <c r="I253" s="763"/>
      <c r="J253" s="763"/>
      <c r="K253" s="763"/>
      <c r="L253" s="763"/>
      <c r="M253" s="763"/>
      <c r="N253" s="763"/>
      <c r="O253" s="763"/>
      <c r="P253" s="763"/>
      <c r="Q253" s="763"/>
      <c r="R253" s="763"/>
      <c r="S253" s="763"/>
      <c r="T253" s="763"/>
      <c r="U253" s="763"/>
      <c r="V253" s="763"/>
      <c r="W253" s="763"/>
      <c r="X253" s="763"/>
      <c r="Y253" s="763"/>
      <c r="Z253" s="762"/>
      <c r="AA253" s="721">
        <f>COUNTIF(H253:Z258, "SI")</f>
        <v>0</v>
      </c>
      <c r="AB253" s="762"/>
      <c r="AC253" s="719" t="e">
        <f>+VLOOKUP(AB253,Listados!$K$8:$L$12,2,0)</f>
        <v>#N/A</v>
      </c>
      <c r="AD253" s="721" t="str">
        <f>+IF(OR(AA253=1,AA253&lt;=5),"Moderado",IF(OR(AA253=6,AA253&lt;=11),"Mayor","Catastrófico"))</f>
        <v>Moderado</v>
      </c>
      <c r="AE253" s="719" t="e">
        <f>+VLOOKUP(AD253,Listados!K259:L263,2,0)</f>
        <v>#N/A</v>
      </c>
      <c r="AF253" s="714" t="str">
        <f>IF(AND(AB253&lt;&gt;"",AD253&lt;&gt;""),VLOOKUP(AB253&amp;AD253,Listados!$M$3:$N$27,2,FALSE),"")</f>
        <v/>
      </c>
      <c r="AG253" s="52" t="s">
        <v>467</v>
      </c>
      <c r="AH253" s="145"/>
      <c r="AI253" s="145"/>
      <c r="AJ253" s="145"/>
      <c r="AK253" s="28" t="str">
        <f t="shared" si="41"/>
        <v/>
      </c>
      <c r="AL253" s="145"/>
      <c r="AM253" s="28" t="str">
        <f t="shared" si="42"/>
        <v/>
      </c>
      <c r="AN253" s="140"/>
      <c r="AO253" s="28" t="str">
        <f t="shared" si="43"/>
        <v/>
      </c>
      <c r="AP253" s="140"/>
      <c r="AQ253" s="28" t="str">
        <f t="shared" si="44"/>
        <v/>
      </c>
      <c r="AR253" s="140"/>
      <c r="AS253" s="28" t="str">
        <f t="shared" si="45"/>
        <v/>
      </c>
      <c r="AT253" s="140"/>
      <c r="AU253" s="28" t="str">
        <f t="shared" si="46"/>
        <v/>
      </c>
      <c r="AV253" s="140"/>
      <c r="AW253" s="28" t="str">
        <f t="shared" si="47"/>
        <v/>
      </c>
      <c r="AX253" s="111" t="str">
        <f t="shared" si="48"/>
        <v/>
      </c>
      <c r="AY253" s="111" t="str">
        <f t="shared" si="49"/>
        <v/>
      </c>
      <c r="AZ253" s="141"/>
      <c r="BA253" s="153" t="str">
        <f t="shared" si="50"/>
        <v>Débil</v>
      </c>
      <c r="BB253" s="22" t="str">
        <f>IFERROR(VLOOKUP((CONCATENATE(AY253,BA253)),Listados!$U$3:$V$11,2,FALSE),"")</f>
        <v/>
      </c>
      <c r="BC253" s="111">
        <f t="shared" si="51"/>
        <v>100</v>
      </c>
      <c r="BD253" s="716">
        <f>AVERAGE(BC253:BC258)</f>
        <v>100</v>
      </c>
      <c r="BE253" s="718" t="str">
        <f>IF(BD253&lt;=50, "Débil", IF(BD253&lt;=99,"Moderado","Fuerte"))</f>
        <v>Fuerte</v>
      </c>
      <c r="BF253" s="716">
        <f>+IF(BE253="Fuerte",2,IF(BE253="Moderado",1,0))</f>
        <v>2</v>
      </c>
      <c r="BG253" s="716" t="e">
        <f>+AC253-BF253</f>
        <v>#N/A</v>
      </c>
      <c r="BH253" s="712" t="e">
        <f>+VLOOKUP(BG253,Listados!$J$18:$K$24,2,TRUE)</f>
        <v>#N/A</v>
      </c>
      <c r="BI253" s="714" t="str">
        <f>IF(ISBLANK(AD253),"",AD253)</f>
        <v>Moderado</v>
      </c>
      <c r="BJ253" s="712" t="e">
        <f>IF(AND(BH253&lt;&gt;"",BI253&lt;&gt;""),VLOOKUP(BH253&amp;BI253,Listados!$M$3:$N$27,2,FALSE),"")</f>
        <v>#N/A</v>
      </c>
      <c r="BK253" s="712" t="e">
        <f>+VLOOKUP(BJ253,Listados!$P$3:$Q$6,2,FALSE)</f>
        <v>#N/A</v>
      </c>
      <c r="BL253" s="799"/>
      <c r="BM253" s="800"/>
      <c r="BN253" s="801"/>
      <c r="BO253" s="799"/>
      <c r="BP253" s="800"/>
      <c r="BQ253" s="801"/>
      <c r="BR253" s="799"/>
      <c r="BS253" s="800"/>
      <c r="BT253" s="801"/>
    </row>
    <row r="254" spans="1:72" ht="15" thickBot="1">
      <c r="A254" s="724"/>
      <c r="B254" s="777"/>
      <c r="C254" s="730"/>
      <c r="D254" s="736"/>
      <c r="E254" s="161"/>
      <c r="F254" s="150"/>
      <c r="G254" s="736"/>
      <c r="H254" s="764"/>
      <c r="I254" s="764"/>
      <c r="J254" s="764"/>
      <c r="K254" s="764"/>
      <c r="L254" s="764"/>
      <c r="M254" s="764"/>
      <c r="N254" s="764"/>
      <c r="O254" s="764"/>
      <c r="P254" s="764"/>
      <c r="Q254" s="764"/>
      <c r="R254" s="764"/>
      <c r="S254" s="764"/>
      <c r="T254" s="764"/>
      <c r="U254" s="764"/>
      <c r="V254" s="764"/>
      <c r="W254" s="764"/>
      <c r="X254" s="764"/>
      <c r="Y254" s="764"/>
      <c r="Z254" s="727"/>
      <c r="AA254" s="722"/>
      <c r="AB254" s="727"/>
      <c r="AC254" s="720"/>
      <c r="AD254" s="722" t="str">
        <f>+IF(OR(AB254=1,AB254&lt;=5),"Moderado",IF(OR(AB254=6,AB254&lt;=11),"Mayor","Catastrófico"))</f>
        <v>Moderado</v>
      </c>
      <c r="AE254" s="720"/>
      <c r="AF254" s="715"/>
      <c r="AG254" s="52" t="s">
        <v>467</v>
      </c>
      <c r="AH254" s="145"/>
      <c r="AI254" s="145"/>
      <c r="AJ254" s="145"/>
      <c r="AK254" s="28" t="str">
        <f t="shared" si="41"/>
        <v/>
      </c>
      <c r="AL254" s="145"/>
      <c r="AM254" s="28" t="str">
        <f t="shared" si="42"/>
        <v/>
      </c>
      <c r="AN254" s="140"/>
      <c r="AO254" s="28" t="str">
        <f t="shared" si="43"/>
        <v/>
      </c>
      <c r="AP254" s="140"/>
      <c r="AQ254" s="28" t="str">
        <f t="shared" si="44"/>
        <v/>
      </c>
      <c r="AR254" s="140"/>
      <c r="AS254" s="28" t="str">
        <f t="shared" si="45"/>
        <v/>
      </c>
      <c r="AT254" s="140"/>
      <c r="AU254" s="28" t="str">
        <f t="shared" si="46"/>
        <v/>
      </c>
      <c r="AV254" s="140"/>
      <c r="AW254" s="28" t="str">
        <f t="shared" si="47"/>
        <v/>
      </c>
      <c r="AX254" s="111" t="str">
        <f t="shared" si="48"/>
        <v/>
      </c>
      <c r="AY254" s="111" t="str">
        <f t="shared" si="49"/>
        <v/>
      </c>
      <c r="AZ254" s="141"/>
      <c r="BA254" s="153" t="str">
        <f t="shared" si="50"/>
        <v>Débil</v>
      </c>
      <c r="BB254" s="22" t="str">
        <f>IFERROR(VLOOKUP((CONCATENATE(AY254,BA254)),Listados!$U$3:$V$11,2,FALSE),"")</f>
        <v/>
      </c>
      <c r="BC254" s="111">
        <f t="shared" si="51"/>
        <v>100</v>
      </c>
      <c r="BD254" s="717"/>
      <c r="BE254" s="761"/>
      <c r="BF254" s="717"/>
      <c r="BG254" s="717"/>
      <c r="BH254" s="713"/>
      <c r="BI254" s="715"/>
      <c r="BJ254" s="713"/>
      <c r="BK254" s="713"/>
      <c r="BL254" s="799"/>
      <c r="BM254" s="800"/>
      <c r="BN254" s="801"/>
      <c r="BO254" s="799"/>
      <c r="BP254" s="800"/>
      <c r="BQ254" s="801"/>
      <c r="BR254" s="799"/>
      <c r="BS254" s="800"/>
      <c r="BT254" s="801"/>
    </row>
    <row r="255" spans="1:72" ht="15" thickBot="1">
      <c r="A255" s="724"/>
      <c r="B255" s="777"/>
      <c r="C255" s="730"/>
      <c r="D255" s="736"/>
      <c r="E255" s="161"/>
      <c r="F255" s="150"/>
      <c r="G255" s="736"/>
      <c r="H255" s="764"/>
      <c r="I255" s="764"/>
      <c r="J255" s="764"/>
      <c r="K255" s="764"/>
      <c r="L255" s="764"/>
      <c r="M255" s="764"/>
      <c r="N255" s="764"/>
      <c r="O255" s="764"/>
      <c r="P255" s="764"/>
      <c r="Q255" s="764"/>
      <c r="R255" s="764"/>
      <c r="S255" s="764"/>
      <c r="T255" s="764"/>
      <c r="U255" s="764"/>
      <c r="V255" s="764"/>
      <c r="W255" s="764"/>
      <c r="X255" s="764"/>
      <c r="Y255" s="764"/>
      <c r="Z255" s="727"/>
      <c r="AA255" s="722"/>
      <c r="AB255" s="727"/>
      <c r="AC255" s="720"/>
      <c r="AD255" s="722" t="str">
        <f>+IF(OR(AB255=1,AB255&lt;=5),"Moderado",IF(OR(AB255=6,AB255&lt;=11),"Mayor","Catastrófico"))</f>
        <v>Moderado</v>
      </c>
      <c r="AE255" s="720"/>
      <c r="AF255" s="715"/>
      <c r="AG255" s="52" t="s">
        <v>467</v>
      </c>
      <c r="AH255" s="145"/>
      <c r="AI255" s="145"/>
      <c r="AJ255" s="145"/>
      <c r="AK255" s="28" t="str">
        <f t="shared" si="41"/>
        <v/>
      </c>
      <c r="AL255" s="145"/>
      <c r="AM255" s="28" t="str">
        <f t="shared" si="42"/>
        <v/>
      </c>
      <c r="AN255" s="140"/>
      <c r="AO255" s="28" t="str">
        <f t="shared" si="43"/>
        <v/>
      </c>
      <c r="AP255" s="140"/>
      <c r="AQ255" s="28" t="str">
        <f t="shared" si="44"/>
        <v/>
      </c>
      <c r="AR255" s="140"/>
      <c r="AS255" s="28" t="str">
        <f t="shared" si="45"/>
        <v/>
      </c>
      <c r="AT255" s="140"/>
      <c r="AU255" s="28" t="str">
        <f t="shared" si="46"/>
        <v/>
      </c>
      <c r="AV255" s="140"/>
      <c r="AW255" s="28" t="str">
        <f t="shared" si="47"/>
        <v/>
      </c>
      <c r="AX255" s="111" t="str">
        <f t="shared" si="48"/>
        <v/>
      </c>
      <c r="AY255" s="111" t="str">
        <f t="shared" si="49"/>
        <v/>
      </c>
      <c r="AZ255" s="141"/>
      <c r="BA255" s="153" t="str">
        <f t="shared" si="50"/>
        <v>Débil</v>
      </c>
      <c r="BB255" s="22" t="str">
        <f>IFERROR(VLOOKUP((CONCATENATE(AY255,BA255)),Listados!$U$3:$V$11,2,FALSE),"")</f>
        <v/>
      </c>
      <c r="BC255" s="111">
        <f t="shared" si="51"/>
        <v>100</v>
      </c>
      <c r="BD255" s="717"/>
      <c r="BE255" s="761"/>
      <c r="BF255" s="717"/>
      <c r="BG255" s="717"/>
      <c r="BH255" s="713"/>
      <c r="BI255" s="715"/>
      <c r="BJ255" s="713"/>
      <c r="BK255" s="713"/>
      <c r="BL255" s="799"/>
      <c r="BM255" s="800"/>
      <c r="BN255" s="801"/>
      <c r="BO255" s="799"/>
      <c r="BP255" s="800"/>
      <c r="BQ255" s="801"/>
      <c r="BR255" s="799"/>
      <c r="BS255" s="800"/>
      <c r="BT255" s="801"/>
    </row>
    <row r="256" spans="1:72" ht="15" thickBot="1">
      <c r="A256" s="724"/>
      <c r="B256" s="777"/>
      <c r="C256" s="730"/>
      <c r="D256" s="736"/>
      <c r="E256" s="755"/>
      <c r="F256" s="769"/>
      <c r="G256" s="736"/>
      <c r="H256" s="764"/>
      <c r="I256" s="764"/>
      <c r="J256" s="764"/>
      <c r="K256" s="764"/>
      <c r="L256" s="764"/>
      <c r="M256" s="764"/>
      <c r="N256" s="764"/>
      <c r="O256" s="764"/>
      <c r="P256" s="764"/>
      <c r="Q256" s="764"/>
      <c r="R256" s="764"/>
      <c r="S256" s="764"/>
      <c r="T256" s="764"/>
      <c r="U256" s="764"/>
      <c r="V256" s="764"/>
      <c r="W256" s="764"/>
      <c r="X256" s="764"/>
      <c r="Y256" s="764"/>
      <c r="Z256" s="727"/>
      <c r="AA256" s="722"/>
      <c r="AB256" s="727"/>
      <c r="AC256" s="720"/>
      <c r="AD256" s="722" t="str">
        <f>+IF(OR(AB256=1,AB256&lt;=5),"Moderado",IF(OR(AB256=6,AB256&lt;=11),"Mayor","Catastrófico"))</f>
        <v>Moderado</v>
      </c>
      <c r="AE256" s="720"/>
      <c r="AF256" s="715"/>
      <c r="AG256" s="52" t="s">
        <v>467</v>
      </c>
      <c r="AH256" s="145"/>
      <c r="AI256" s="145"/>
      <c r="AJ256" s="145"/>
      <c r="AK256" s="28" t="str">
        <f t="shared" si="41"/>
        <v/>
      </c>
      <c r="AL256" s="145"/>
      <c r="AM256" s="28" t="str">
        <f t="shared" si="42"/>
        <v/>
      </c>
      <c r="AN256" s="140"/>
      <c r="AO256" s="28" t="str">
        <f t="shared" si="43"/>
        <v/>
      </c>
      <c r="AP256" s="140"/>
      <c r="AQ256" s="28" t="str">
        <f t="shared" si="44"/>
        <v/>
      </c>
      <c r="AR256" s="140"/>
      <c r="AS256" s="28" t="str">
        <f t="shared" si="45"/>
        <v/>
      </c>
      <c r="AT256" s="140"/>
      <c r="AU256" s="28" t="str">
        <f t="shared" si="46"/>
        <v/>
      </c>
      <c r="AV256" s="140"/>
      <c r="AW256" s="28" t="str">
        <f t="shared" si="47"/>
        <v/>
      </c>
      <c r="AX256" s="111" t="str">
        <f t="shared" si="48"/>
        <v/>
      </c>
      <c r="AY256" s="111" t="str">
        <f t="shared" si="49"/>
        <v/>
      </c>
      <c r="AZ256" s="141"/>
      <c r="BA256" s="153" t="str">
        <f t="shared" si="50"/>
        <v>Débil</v>
      </c>
      <c r="BB256" s="22" t="str">
        <f>IFERROR(VLOOKUP((CONCATENATE(AY256,BA256)),Listados!$U$3:$V$11,2,FALSE),"")</f>
        <v/>
      </c>
      <c r="BC256" s="111">
        <f t="shared" si="51"/>
        <v>100</v>
      </c>
      <c r="BD256" s="717"/>
      <c r="BE256" s="761"/>
      <c r="BF256" s="717"/>
      <c r="BG256" s="717"/>
      <c r="BH256" s="713"/>
      <c r="BI256" s="715"/>
      <c r="BJ256" s="713"/>
      <c r="BK256" s="713"/>
      <c r="BL256" s="799"/>
      <c r="BM256" s="800"/>
      <c r="BN256" s="801"/>
      <c r="BO256" s="799"/>
      <c r="BP256" s="800"/>
      <c r="BQ256" s="801"/>
      <c r="BR256" s="799"/>
      <c r="BS256" s="800"/>
      <c r="BT256" s="801"/>
    </row>
    <row r="257" spans="1:72" ht="15" thickBot="1">
      <c r="A257" s="724"/>
      <c r="B257" s="777"/>
      <c r="C257" s="730"/>
      <c r="D257" s="736"/>
      <c r="E257" s="756"/>
      <c r="F257" s="770"/>
      <c r="G257" s="736"/>
      <c r="H257" s="764"/>
      <c r="I257" s="764"/>
      <c r="J257" s="764"/>
      <c r="K257" s="764"/>
      <c r="L257" s="764"/>
      <c r="M257" s="764"/>
      <c r="N257" s="764"/>
      <c r="O257" s="764"/>
      <c r="P257" s="764"/>
      <c r="Q257" s="764"/>
      <c r="R257" s="764"/>
      <c r="S257" s="764"/>
      <c r="T257" s="764"/>
      <c r="U257" s="764"/>
      <c r="V257" s="764"/>
      <c r="W257" s="764"/>
      <c r="X257" s="764"/>
      <c r="Y257" s="764"/>
      <c r="Z257" s="727"/>
      <c r="AA257" s="722"/>
      <c r="AB257" s="727"/>
      <c r="AC257" s="720"/>
      <c r="AD257" s="722" t="str">
        <f>+IF(OR(AB257=1,AB257&lt;=5),"Moderado",IF(OR(AB257=6,AB257&lt;=11),"Mayor","Catastrófico"))</f>
        <v>Moderado</v>
      </c>
      <c r="AE257" s="720"/>
      <c r="AF257" s="715"/>
      <c r="AG257" s="52" t="s">
        <v>467</v>
      </c>
      <c r="AH257" s="145"/>
      <c r="AI257" s="145"/>
      <c r="AJ257" s="145"/>
      <c r="AK257" s="28" t="str">
        <f t="shared" si="41"/>
        <v/>
      </c>
      <c r="AL257" s="145"/>
      <c r="AM257" s="28" t="str">
        <f t="shared" si="42"/>
        <v/>
      </c>
      <c r="AN257" s="140"/>
      <c r="AO257" s="28" t="str">
        <f t="shared" si="43"/>
        <v/>
      </c>
      <c r="AP257" s="140"/>
      <c r="AQ257" s="28" t="str">
        <f t="shared" si="44"/>
        <v/>
      </c>
      <c r="AR257" s="140"/>
      <c r="AS257" s="28" t="str">
        <f t="shared" si="45"/>
        <v/>
      </c>
      <c r="AT257" s="140"/>
      <c r="AU257" s="28" t="str">
        <f t="shared" si="46"/>
        <v/>
      </c>
      <c r="AV257" s="140"/>
      <c r="AW257" s="28" t="str">
        <f t="shared" si="47"/>
        <v/>
      </c>
      <c r="AX257" s="111" t="str">
        <f t="shared" si="48"/>
        <v/>
      </c>
      <c r="AY257" s="111" t="str">
        <f t="shared" si="49"/>
        <v/>
      </c>
      <c r="AZ257" s="141"/>
      <c r="BA257" s="153" t="str">
        <f t="shared" si="50"/>
        <v>Débil</v>
      </c>
      <c r="BB257" s="22" t="str">
        <f>IFERROR(VLOOKUP((CONCATENATE(AY257,BA257)),Listados!$U$3:$V$11,2,FALSE),"")</f>
        <v/>
      </c>
      <c r="BC257" s="111">
        <f t="shared" si="51"/>
        <v>100</v>
      </c>
      <c r="BD257" s="717"/>
      <c r="BE257" s="761"/>
      <c r="BF257" s="717"/>
      <c r="BG257" s="717"/>
      <c r="BH257" s="713"/>
      <c r="BI257" s="715"/>
      <c r="BJ257" s="713"/>
      <c r="BK257" s="713"/>
      <c r="BL257" s="799"/>
      <c r="BM257" s="800"/>
      <c r="BN257" s="801"/>
      <c r="BO257" s="799"/>
      <c r="BP257" s="800"/>
      <c r="BQ257" s="801"/>
      <c r="BR257" s="799"/>
      <c r="BS257" s="800"/>
      <c r="BT257" s="801"/>
    </row>
    <row r="258" spans="1:72" ht="15" thickBot="1">
      <c r="A258" s="725"/>
      <c r="B258" s="777"/>
      <c r="C258" s="731"/>
      <c r="D258" s="781"/>
      <c r="E258" s="757"/>
      <c r="F258" s="771"/>
      <c r="G258" s="736"/>
      <c r="H258" s="764"/>
      <c r="I258" s="764"/>
      <c r="J258" s="764"/>
      <c r="K258" s="764"/>
      <c r="L258" s="764"/>
      <c r="M258" s="764"/>
      <c r="N258" s="764"/>
      <c r="O258" s="764"/>
      <c r="P258" s="764"/>
      <c r="Q258" s="764"/>
      <c r="R258" s="764"/>
      <c r="S258" s="764"/>
      <c r="T258" s="764"/>
      <c r="U258" s="764"/>
      <c r="V258" s="764"/>
      <c r="W258" s="764"/>
      <c r="X258" s="764"/>
      <c r="Y258" s="764"/>
      <c r="Z258" s="727"/>
      <c r="AA258" s="722"/>
      <c r="AB258" s="727"/>
      <c r="AC258" s="721"/>
      <c r="AD258" s="722" t="str">
        <f>+IF(OR(AB258=1,AB258&lt;=5),"Moderado",IF(OR(AB258=6,AB258&lt;=11),"Mayor","Catastrófico"))</f>
        <v>Moderado</v>
      </c>
      <c r="AE258" s="721"/>
      <c r="AF258" s="715"/>
      <c r="AG258" s="52" t="s">
        <v>467</v>
      </c>
      <c r="AH258" s="145"/>
      <c r="AI258" s="145"/>
      <c r="AJ258" s="145"/>
      <c r="AK258" s="28" t="str">
        <f t="shared" si="41"/>
        <v/>
      </c>
      <c r="AL258" s="145"/>
      <c r="AM258" s="28" t="str">
        <f t="shared" si="42"/>
        <v/>
      </c>
      <c r="AN258" s="140"/>
      <c r="AO258" s="28" t="str">
        <f t="shared" si="43"/>
        <v/>
      </c>
      <c r="AP258" s="140"/>
      <c r="AQ258" s="28" t="str">
        <f t="shared" si="44"/>
        <v/>
      </c>
      <c r="AR258" s="140"/>
      <c r="AS258" s="28" t="str">
        <f t="shared" si="45"/>
        <v/>
      </c>
      <c r="AT258" s="140"/>
      <c r="AU258" s="28" t="str">
        <f t="shared" si="46"/>
        <v/>
      </c>
      <c r="AV258" s="140"/>
      <c r="AW258" s="28" t="str">
        <f t="shared" si="47"/>
        <v/>
      </c>
      <c r="AX258" s="111" t="str">
        <f t="shared" si="48"/>
        <v/>
      </c>
      <c r="AY258" s="111" t="str">
        <f t="shared" si="49"/>
        <v/>
      </c>
      <c r="AZ258" s="141"/>
      <c r="BA258" s="153" t="str">
        <f t="shared" si="50"/>
        <v>Débil</v>
      </c>
      <c r="BB258" s="22" t="str">
        <f>IFERROR(VLOOKUP((CONCATENATE(AY258,BA258)),Listados!$U$3:$V$11,2,FALSE),"")</f>
        <v/>
      </c>
      <c r="BC258" s="111">
        <f t="shared" si="51"/>
        <v>100</v>
      </c>
      <c r="BD258" s="718"/>
      <c r="BE258" s="761"/>
      <c r="BF258" s="718"/>
      <c r="BG258" s="718"/>
      <c r="BH258" s="714"/>
      <c r="BI258" s="715"/>
      <c r="BJ258" s="714"/>
      <c r="BK258" s="714"/>
      <c r="BL258" s="799"/>
      <c r="BM258" s="800"/>
      <c r="BN258" s="801"/>
      <c r="BO258" s="799"/>
      <c r="BP258" s="800"/>
      <c r="BQ258" s="801"/>
      <c r="BR258" s="799"/>
      <c r="BS258" s="800"/>
      <c r="BT258" s="801"/>
    </row>
    <row r="259" spans="1:72" ht="15" thickBot="1">
      <c r="A259" s="723">
        <v>43</v>
      </c>
      <c r="B259" s="776"/>
      <c r="C259" s="729" t="str">
        <f>IFERROR(VLOOKUP(B259,Listados!B$3:C$20,2,FALSE),"")</f>
        <v/>
      </c>
      <c r="D259" s="735" t="s">
        <v>584</v>
      </c>
      <c r="E259" s="105"/>
      <c r="F259" s="18"/>
      <c r="G259" s="735"/>
      <c r="H259" s="763"/>
      <c r="I259" s="763"/>
      <c r="J259" s="763"/>
      <c r="K259" s="763"/>
      <c r="L259" s="763"/>
      <c r="M259" s="763"/>
      <c r="N259" s="763"/>
      <c r="O259" s="763"/>
      <c r="P259" s="763"/>
      <c r="Q259" s="763"/>
      <c r="R259" s="763"/>
      <c r="S259" s="763"/>
      <c r="T259" s="763"/>
      <c r="U259" s="763"/>
      <c r="V259" s="763"/>
      <c r="W259" s="763"/>
      <c r="X259" s="763"/>
      <c r="Y259" s="763"/>
      <c r="Z259" s="762"/>
      <c r="AA259" s="721">
        <f>COUNTIF(H259:Z264, "SI")</f>
        <v>0</v>
      </c>
      <c r="AB259" s="762"/>
      <c r="AC259" s="719" t="e">
        <f>+VLOOKUP(AB259,Listados!$K$8:$L$12,2,0)</f>
        <v>#N/A</v>
      </c>
      <c r="AD259" s="721" t="str">
        <f>+IF(OR(AA259=1,AA259&lt;=5),"Moderado",IF(OR(AA259=6,AA259&lt;=11),"Mayor","Catastrófico"))</f>
        <v>Moderado</v>
      </c>
      <c r="AE259" s="719" t="e">
        <f>+VLOOKUP(AD259,Listados!K265:L269,2,0)</f>
        <v>#N/A</v>
      </c>
      <c r="AF259" s="714" t="str">
        <f>IF(AND(AB259&lt;&gt;"",AD259&lt;&gt;""),VLOOKUP(AB259&amp;AD259,Listados!$M$3:$N$27,2,FALSE),"")</f>
        <v/>
      </c>
      <c r="AG259" s="52" t="s">
        <v>467</v>
      </c>
      <c r="AH259" s="145"/>
      <c r="AI259" s="145"/>
      <c r="AJ259" s="145"/>
      <c r="AK259" s="28" t="str">
        <f t="shared" si="41"/>
        <v/>
      </c>
      <c r="AL259" s="145"/>
      <c r="AM259" s="28" t="str">
        <f t="shared" si="42"/>
        <v/>
      </c>
      <c r="AN259" s="140"/>
      <c r="AO259" s="28" t="str">
        <f t="shared" si="43"/>
        <v/>
      </c>
      <c r="AP259" s="140"/>
      <c r="AQ259" s="28" t="str">
        <f t="shared" si="44"/>
        <v/>
      </c>
      <c r="AR259" s="140"/>
      <c r="AS259" s="28" t="str">
        <f t="shared" si="45"/>
        <v/>
      </c>
      <c r="AT259" s="140"/>
      <c r="AU259" s="28" t="str">
        <f t="shared" si="46"/>
        <v/>
      </c>
      <c r="AV259" s="140"/>
      <c r="AW259" s="28" t="str">
        <f t="shared" si="47"/>
        <v/>
      </c>
      <c r="AX259" s="111" t="str">
        <f t="shared" si="48"/>
        <v/>
      </c>
      <c r="AY259" s="111" t="str">
        <f t="shared" si="49"/>
        <v/>
      </c>
      <c r="AZ259" s="141"/>
      <c r="BA259" s="153" t="str">
        <f t="shared" si="50"/>
        <v>Débil</v>
      </c>
      <c r="BB259" s="22" t="str">
        <f>IFERROR(VLOOKUP((CONCATENATE(AY259,BA259)),Listados!$U$3:$V$11,2,FALSE),"")</f>
        <v/>
      </c>
      <c r="BC259" s="111">
        <f t="shared" si="51"/>
        <v>100</v>
      </c>
      <c r="BD259" s="716">
        <f>AVERAGE(BC259:BC264)</f>
        <v>100</v>
      </c>
      <c r="BE259" s="718" t="str">
        <f>IF(BD259&lt;=50, "Débil", IF(BD259&lt;=99,"Moderado","Fuerte"))</f>
        <v>Fuerte</v>
      </c>
      <c r="BF259" s="716">
        <f>+IF(BE259="Fuerte",2,IF(BE259="Moderado",1,0))</f>
        <v>2</v>
      </c>
      <c r="BG259" s="716" t="e">
        <f>+AC259-BF259</f>
        <v>#N/A</v>
      </c>
      <c r="BH259" s="712" t="e">
        <f>+VLOOKUP(BG259,Listados!$J$18:$K$24,2,TRUE)</f>
        <v>#N/A</v>
      </c>
      <c r="BI259" s="714" t="str">
        <f>IF(ISBLANK(AD259),"",AD259)</f>
        <v>Moderado</v>
      </c>
      <c r="BJ259" s="712" t="e">
        <f>IF(AND(BH259&lt;&gt;"",BI259&lt;&gt;""),VLOOKUP(BH259&amp;BI259,Listados!$M$3:$N$27,2,FALSE),"")</f>
        <v>#N/A</v>
      </c>
      <c r="BK259" s="712" t="e">
        <f>+VLOOKUP(BJ259,Listados!$P$3:$Q$6,2,FALSE)</f>
        <v>#N/A</v>
      </c>
      <c r="BL259" s="799"/>
      <c r="BM259" s="800"/>
      <c r="BN259" s="801"/>
      <c r="BO259" s="799"/>
      <c r="BP259" s="800"/>
      <c r="BQ259" s="801"/>
      <c r="BR259" s="799"/>
      <c r="BS259" s="800"/>
      <c r="BT259" s="801"/>
    </row>
    <row r="260" spans="1:72" ht="15" thickBot="1">
      <c r="A260" s="724"/>
      <c r="B260" s="777"/>
      <c r="C260" s="730"/>
      <c r="D260" s="736"/>
      <c r="E260" s="161"/>
      <c r="F260" s="150"/>
      <c r="G260" s="736"/>
      <c r="H260" s="764"/>
      <c r="I260" s="764"/>
      <c r="J260" s="764"/>
      <c r="K260" s="764"/>
      <c r="L260" s="764"/>
      <c r="M260" s="764"/>
      <c r="N260" s="764"/>
      <c r="O260" s="764"/>
      <c r="P260" s="764"/>
      <c r="Q260" s="764"/>
      <c r="R260" s="764"/>
      <c r="S260" s="764"/>
      <c r="T260" s="764"/>
      <c r="U260" s="764"/>
      <c r="V260" s="764"/>
      <c r="W260" s="764"/>
      <c r="X260" s="764"/>
      <c r="Y260" s="764"/>
      <c r="Z260" s="727"/>
      <c r="AA260" s="722"/>
      <c r="AB260" s="727"/>
      <c r="AC260" s="720"/>
      <c r="AD260" s="722" t="str">
        <f>+IF(OR(AB260=1,AB260&lt;=5),"Moderado",IF(OR(AB260=6,AB260&lt;=11),"Mayor","Catastrófico"))</f>
        <v>Moderado</v>
      </c>
      <c r="AE260" s="720"/>
      <c r="AF260" s="715"/>
      <c r="AG260" s="52" t="s">
        <v>467</v>
      </c>
      <c r="AH260" s="145"/>
      <c r="AI260" s="145"/>
      <c r="AJ260" s="145"/>
      <c r="AK260" s="28" t="str">
        <f t="shared" si="41"/>
        <v/>
      </c>
      <c r="AL260" s="145"/>
      <c r="AM260" s="28" t="str">
        <f t="shared" si="42"/>
        <v/>
      </c>
      <c r="AN260" s="140"/>
      <c r="AO260" s="28" t="str">
        <f t="shared" si="43"/>
        <v/>
      </c>
      <c r="AP260" s="140"/>
      <c r="AQ260" s="28" t="str">
        <f t="shared" si="44"/>
        <v/>
      </c>
      <c r="AR260" s="140"/>
      <c r="AS260" s="28" t="str">
        <f t="shared" si="45"/>
        <v/>
      </c>
      <c r="AT260" s="140"/>
      <c r="AU260" s="28" t="str">
        <f t="shared" si="46"/>
        <v/>
      </c>
      <c r="AV260" s="140"/>
      <c r="AW260" s="28" t="str">
        <f t="shared" si="47"/>
        <v/>
      </c>
      <c r="AX260" s="111" t="str">
        <f t="shared" si="48"/>
        <v/>
      </c>
      <c r="AY260" s="111" t="str">
        <f t="shared" si="49"/>
        <v/>
      </c>
      <c r="AZ260" s="141"/>
      <c r="BA260" s="153" t="str">
        <f t="shared" si="50"/>
        <v>Débil</v>
      </c>
      <c r="BB260" s="22" t="str">
        <f>IFERROR(VLOOKUP((CONCATENATE(AY260,BA260)),Listados!$U$3:$V$11,2,FALSE),"")</f>
        <v/>
      </c>
      <c r="BC260" s="111">
        <f t="shared" si="51"/>
        <v>100</v>
      </c>
      <c r="BD260" s="717"/>
      <c r="BE260" s="761"/>
      <c r="BF260" s="717"/>
      <c r="BG260" s="717"/>
      <c r="BH260" s="713"/>
      <c r="BI260" s="715"/>
      <c r="BJ260" s="713"/>
      <c r="BK260" s="713"/>
      <c r="BL260" s="799"/>
      <c r="BM260" s="800"/>
      <c r="BN260" s="801"/>
      <c r="BO260" s="799"/>
      <c r="BP260" s="800"/>
      <c r="BQ260" s="801"/>
      <c r="BR260" s="799"/>
      <c r="BS260" s="800"/>
      <c r="BT260" s="801"/>
    </row>
    <row r="261" spans="1:72" ht="15" thickBot="1">
      <c r="A261" s="724"/>
      <c r="B261" s="777"/>
      <c r="C261" s="730"/>
      <c r="D261" s="736"/>
      <c r="E261" s="161"/>
      <c r="F261" s="150"/>
      <c r="G261" s="736"/>
      <c r="H261" s="764"/>
      <c r="I261" s="764"/>
      <c r="J261" s="764"/>
      <c r="K261" s="764"/>
      <c r="L261" s="764"/>
      <c r="M261" s="764"/>
      <c r="N261" s="764"/>
      <c r="O261" s="764"/>
      <c r="P261" s="764"/>
      <c r="Q261" s="764"/>
      <c r="R261" s="764"/>
      <c r="S261" s="764"/>
      <c r="T261" s="764"/>
      <c r="U261" s="764"/>
      <c r="V261" s="764"/>
      <c r="W261" s="764"/>
      <c r="X261" s="764"/>
      <c r="Y261" s="764"/>
      <c r="Z261" s="727"/>
      <c r="AA261" s="722"/>
      <c r="AB261" s="727"/>
      <c r="AC261" s="720"/>
      <c r="AD261" s="722" t="str">
        <f>+IF(OR(AB261=1,AB261&lt;=5),"Moderado",IF(OR(AB261=6,AB261&lt;=11),"Mayor","Catastrófico"))</f>
        <v>Moderado</v>
      </c>
      <c r="AE261" s="720"/>
      <c r="AF261" s="715"/>
      <c r="AG261" s="52" t="s">
        <v>467</v>
      </c>
      <c r="AH261" s="145"/>
      <c r="AI261" s="145"/>
      <c r="AJ261" s="145"/>
      <c r="AK261" s="28" t="str">
        <f t="shared" si="41"/>
        <v/>
      </c>
      <c r="AL261" s="145"/>
      <c r="AM261" s="28" t="str">
        <f t="shared" si="42"/>
        <v/>
      </c>
      <c r="AN261" s="140"/>
      <c r="AO261" s="28" t="str">
        <f t="shared" si="43"/>
        <v/>
      </c>
      <c r="AP261" s="140"/>
      <c r="AQ261" s="28" t="str">
        <f t="shared" si="44"/>
        <v/>
      </c>
      <c r="AR261" s="140"/>
      <c r="AS261" s="28" t="str">
        <f t="shared" si="45"/>
        <v/>
      </c>
      <c r="AT261" s="140"/>
      <c r="AU261" s="28" t="str">
        <f t="shared" si="46"/>
        <v/>
      </c>
      <c r="AV261" s="140"/>
      <c r="AW261" s="28" t="str">
        <f t="shared" si="47"/>
        <v/>
      </c>
      <c r="AX261" s="111" t="str">
        <f t="shared" si="48"/>
        <v/>
      </c>
      <c r="AY261" s="111" t="str">
        <f t="shared" si="49"/>
        <v/>
      </c>
      <c r="AZ261" s="141"/>
      <c r="BA261" s="153" t="str">
        <f t="shared" si="50"/>
        <v>Débil</v>
      </c>
      <c r="BB261" s="22" t="str">
        <f>IFERROR(VLOOKUP((CONCATENATE(AY261,BA261)),Listados!$U$3:$V$11,2,FALSE),"")</f>
        <v/>
      </c>
      <c r="BC261" s="111">
        <f t="shared" si="51"/>
        <v>100</v>
      </c>
      <c r="BD261" s="717"/>
      <c r="BE261" s="761"/>
      <c r="BF261" s="717"/>
      <c r="BG261" s="717"/>
      <c r="BH261" s="713"/>
      <c r="BI261" s="715"/>
      <c r="BJ261" s="713"/>
      <c r="BK261" s="713"/>
      <c r="BL261" s="799"/>
      <c r="BM261" s="800"/>
      <c r="BN261" s="801"/>
      <c r="BO261" s="799"/>
      <c r="BP261" s="800"/>
      <c r="BQ261" s="801"/>
      <c r="BR261" s="799"/>
      <c r="BS261" s="800"/>
      <c r="BT261" s="801"/>
    </row>
    <row r="262" spans="1:72" ht="15" thickBot="1">
      <c r="A262" s="724"/>
      <c r="B262" s="777"/>
      <c r="C262" s="730"/>
      <c r="D262" s="736"/>
      <c r="E262" s="755"/>
      <c r="F262" s="769"/>
      <c r="G262" s="736"/>
      <c r="H262" s="764"/>
      <c r="I262" s="764"/>
      <c r="J262" s="764"/>
      <c r="K262" s="764"/>
      <c r="L262" s="764"/>
      <c r="M262" s="764"/>
      <c r="N262" s="764"/>
      <c r="O262" s="764"/>
      <c r="P262" s="764"/>
      <c r="Q262" s="764"/>
      <c r="R262" s="764"/>
      <c r="S262" s="764"/>
      <c r="T262" s="764"/>
      <c r="U262" s="764"/>
      <c r="V262" s="764"/>
      <c r="W262" s="764"/>
      <c r="X262" s="764"/>
      <c r="Y262" s="764"/>
      <c r="Z262" s="727"/>
      <c r="AA262" s="722"/>
      <c r="AB262" s="727"/>
      <c r="AC262" s="720"/>
      <c r="AD262" s="722" t="str">
        <f>+IF(OR(AB262=1,AB262&lt;=5),"Moderado",IF(OR(AB262=6,AB262&lt;=11),"Mayor","Catastrófico"))</f>
        <v>Moderado</v>
      </c>
      <c r="AE262" s="720"/>
      <c r="AF262" s="715"/>
      <c r="AG262" s="52" t="s">
        <v>467</v>
      </c>
      <c r="AH262" s="145"/>
      <c r="AI262" s="145"/>
      <c r="AJ262" s="145"/>
      <c r="AK262" s="28" t="str">
        <f t="shared" si="41"/>
        <v/>
      </c>
      <c r="AL262" s="145"/>
      <c r="AM262" s="28" t="str">
        <f t="shared" si="42"/>
        <v/>
      </c>
      <c r="AN262" s="140"/>
      <c r="AO262" s="28" t="str">
        <f t="shared" si="43"/>
        <v/>
      </c>
      <c r="AP262" s="140"/>
      <c r="AQ262" s="28" t="str">
        <f t="shared" si="44"/>
        <v/>
      </c>
      <c r="AR262" s="140"/>
      <c r="AS262" s="28" t="str">
        <f t="shared" si="45"/>
        <v/>
      </c>
      <c r="AT262" s="140"/>
      <c r="AU262" s="28" t="str">
        <f t="shared" si="46"/>
        <v/>
      </c>
      <c r="AV262" s="140"/>
      <c r="AW262" s="28" t="str">
        <f t="shared" si="47"/>
        <v/>
      </c>
      <c r="AX262" s="111" t="str">
        <f t="shared" si="48"/>
        <v/>
      </c>
      <c r="AY262" s="111" t="str">
        <f t="shared" si="49"/>
        <v/>
      </c>
      <c r="AZ262" s="141"/>
      <c r="BA262" s="153" t="str">
        <f t="shared" si="50"/>
        <v>Débil</v>
      </c>
      <c r="BB262" s="22" t="str">
        <f>IFERROR(VLOOKUP((CONCATENATE(AY262,BA262)),Listados!$U$3:$V$11,2,FALSE),"")</f>
        <v/>
      </c>
      <c r="BC262" s="111">
        <f t="shared" si="51"/>
        <v>100</v>
      </c>
      <c r="BD262" s="717"/>
      <c r="BE262" s="761"/>
      <c r="BF262" s="717"/>
      <c r="BG262" s="717"/>
      <c r="BH262" s="713"/>
      <c r="BI262" s="715"/>
      <c r="BJ262" s="713"/>
      <c r="BK262" s="713"/>
      <c r="BL262" s="799"/>
      <c r="BM262" s="800"/>
      <c r="BN262" s="801"/>
      <c r="BO262" s="799"/>
      <c r="BP262" s="800"/>
      <c r="BQ262" s="801"/>
      <c r="BR262" s="799"/>
      <c r="BS262" s="800"/>
      <c r="BT262" s="801"/>
    </row>
    <row r="263" spans="1:72" ht="15" thickBot="1">
      <c r="A263" s="724"/>
      <c r="B263" s="777"/>
      <c r="C263" s="730"/>
      <c r="D263" s="736"/>
      <c r="E263" s="756"/>
      <c r="F263" s="770"/>
      <c r="G263" s="736"/>
      <c r="H263" s="764"/>
      <c r="I263" s="764"/>
      <c r="J263" s="764"/>
      <c r="K263" s="764"/>
      <c r="L263" s="764"/>
      <c r="M263" s="764"/>
      <c r="N263" s="764"/>
      <c r="O263" s="764"/>
      <c r="P263" s="764"/>
      <c r="Q263" s="764"/>
      <c r="R263" s="764"/>
      <c r="S263" s="764"/>
      <c r="T263" s="764"/>
      <c r="U263" s="764"/>
      <c r="V263" s="764"/>
      <c r="W263" s="764"/>
      <c r="X263" s="764"/>
      <c r="Y263" s="764"/>
      <c r="Z263" s="727"/>
      <c r="AA263" s="722"/>
      <c r="AB263" s="727"/>
      <c r="AC263" s="720"/>
      <c r="AD263" s="722" t="str">
        <f>+IF(OR(AB263=1,AB263&lt;=5),"Moderado",IF(OR(AB263=6,AB263&lt;=11),"Mayor","Catastrófico"))</f>
        <v>Moderado</v>
      </c>
      <c r="AE263" s="720"/>
      <c r="AF263" s="715"/>
      <c r="AG263" s="52" t="s">
        <v>467</v>
      </c>
      <c r="AH263" s="145"/>
      <c r="AI263" s="145"/>
      <c r="AJ263" s="145"/>
      <c r="AK263" s="28" t="str">
        <f t="shared" si="41"/>
        <v/>
      </c>
      <c r="AL263" s="145"/>
      <c r="AM263" s="28" t="str">
        <f t="shared" si="42"/>
        <v/>
      </c>
      <c r="AN263" s="140"/>
      <c r="AO263" s="28" t="str">
        <f t="shared" si="43"/>
        <v/>
      </c>
      <c r="AP263" s="140"/>
      <c r="AQ263" s="28" t="str">
        <f t="shared" si="44"/>
        <v/>
      </c>
      <c r="AR263" s="140"/>
      <c r="AS263" s="28" t="str">
        <f t="shared" si="45"/>
        <v/>
      </c>
      <c r="AT263" s="140"/>
      <c r="AU263" s="28" t="str">
        <f t="shared" si="46"/>
        <v/>
      </c>
      <c r="AV263" s="140"/>
      <c r="AW263" s="28" t="str">
        <f t="shared" si="47"/>
        <v/>
      </c>
      <c r="AX263" s="111" t="str">
        <f t="shared" si="48"/>
        <v/>
      </c>
      <c r="AY263" s="111" t="str">
        <f t="shared" si="49"/>
        <v/>
      </c>
      <c r="AZ263" s="141"/>
      <c r="BA263" s="153" t="str">
        <f t="shared" si="50"/>
        <v>Débil</v>
      </c>
      <c r="BB263" s="22" t="str">
        <f>IFERROR(VLOOKUP((CONCATENATE(AY263,BA263)),Listados!$U$3:$V$11,2,FALSE),"")</f>
        <v/>
      </c>
      <c r="BC263" s="111">
        <f t="shared" si="51"/>
        <v>100</v>
      </c>
      <c r="BD263" s="717"/>
      <c r="BE263" s="761"/>
      <c r="BF263" s="717"/>
      <c r="BG263" s="717"/>
      <c r="BH263" s="713"/>
      <c r="BI263" s="715"/>
      <c r="BJ263" s="713"/>
      <c r="BK263" s="713"/>
      <c r="BL263" s="799"/>
      <c r="BM263" s="800"/>
      <c r="BN263" s="801"/>
      <c r="BO263" s="799"/>
      <c r="BP263" s="800"/>
      <c r="BQ263" s="801"/>
      <c r="BR263" s="799"/>
      <c r="BS263" s="800"/>
      <c r="BT263" s="801"/>
    </row>
    <row r="264" spans="1:72" ht="15" thickBot="1">
      <c r="A264" s="725"/>
      <c r="B264" s="777"/>
      <c r="C264" s="731"/>
      <c r="D264" s="781"/>
      <c r="E264" s="757"/>
      <c r="F264" s="771"/>
      <c r="G264" s="736"/>
      <c r="H264" s="764"/>
      <c r="I264" s="764"/>
      <c r="J264" s="764"/>
      <c r="K264" s="764"/>
      <c r="L264" s="764"/>
      <c r="M264" s="764"/>
      <c r="N264" s="764"/>
      <c r="O264" s="764"/>
      <c r="P264" s="764"/>
      <c r="Q264" s="764"/>
      <c r="R264" s="764"/>
      <c r="S264" s="764"/>
      <c r="T264" s="764"/>
      <c r="U264" s="764"/>
      <c r="V264" s="764"/>
      <c r="W264" s="764"/>
      <c r="X264" s="764"/>
      <c r="Y264" s="764"/>
      <c r="Z264" s="727"/>
      <c r="AA264" s="722"/>
      <c r="AB264" s="727"/>
      <c r="AC264" s="721"/>
      <c r="AD264" s="722" t="str">
        <f>+IF(OR(AB264=1,AB264&lt;=5),"Moderado",IF(OR(AB264=6,AB264&lt;=11),"Mayor","Catastrófico"))</f>
        <v>Moderado</v>
      </c>
      <c r="AE264" s="721"/>
      <c r="AF264" s="715"/>
      <c r="AG264" s="52" t="s">
        <v>467</v>
      </c>
      <c r="AH264" s="145"/>
      <c r="AI264" s="145"/>
      <c r="AJ264" s="145"/>
      <c r="AK264" s="28" t="str">
        <f t="shared" ref="AK264:AK327" si="52">+IF(AJ264="si",15,"")</f>
        <v/>
      </c>
      <c r="AL264" s="145"/>
      <c r="AM264" s="28" t="str">
        <f t="shared" ref="AM264:AM327" si="53">+IF(AL264="si",15,"")</f>
        <v/>
      </c>
      <c r="AN264" s="140"/>
      <c r="AO264" s="28" t="str">
        <f t="shared" ref="AO264:AO327" si="54">+IF(AN264="si",15,"")</f>
        <v/>
      </c>
      <c r="AP264" s="140"/>
      <c r="AQ264" s="28" t="str">
        <f t="shared" ref="AQ264:AQ327" si="55">+IF(AP264="Preventivo",15,IF(AP264="Detectivo",10,""))</f>
        <v/>
      </c>
      <c r="AR264" s="140"/>
      <c r="AS264" s="28" t="str">
        <f t="shared" ref="AS264:AS327" si="56">+IF(AR264="si",15,"")</f>
        <v/>
      </c>
      <c r="AT264" s="140"/>
      <c r="AU264" s="28" t="str">
        <f t="shared" ref="AU264:AU327" si="57">+IF(AT264="si",15,"")</f>
        <v/>
      </c>
      <c r="AV264" s="140"/>
      <c r="AW264" s="28" t="str">
        <f t="shared" ref="AW264:AW327" si="58">+IF(AV264="Completa",10,IF(AV264="Incompleta",5,""))</f>
        <v/>
      </c>
      <c r="AX264" s="111" t="str">
        <f t="shared" ref="AX264:AX327" si="59">IF((SUM(AK264,AM264,AO264,AQ264,AS264,AU264,AW264)=0),"",(SUM(AK264,AM264,AO264,AQ264,AS264,AU264,AW264)))</f>
        <v/>
      </c>
      <c r="AY264" s="111" t="str">
        <f t="shared" ref="AY264:AY327" si="60">IF(AX264&lt;=85,"Débil",IF(AX264&lt;=95,"Moderado",IF(AX264=100,"Fuerte","")))</f>
        <v/>
      </c>
      <c r="AZ264" s="141"/>
      <c r="BA264" s="153" t="str">
        <f t="shared" ref="BA264:BA327" si="61">+IF(AZ264="siempre","Fuerte",IF(AZ264="Algunas veces","Moderado","Débil"))</f>
        <v>Débil</v>
      </c>
      <c r="BB264" s="22" t="str">
        <f>IFERROR(VLOOKUP((CONCATENATE(AY264,BA264)),Listados!$U$3:$V$11,2,FALSE),"")</f>
        <v/>
      </c>
      <c r="BC264" s="111">
        <f t="shared" ref="BC264:BC327" si="62">IF(ISBLANK(BB264),"",IF(BB264="Débil", 0, IF(BB264="Moderado",50,100)))</f>
        <v>100</v>
      </c>
      <c r="BD264" s="718"/>
      <c r="BE264" s="761"/>
      <c r="BF264" s="718"/>
      <c r="BG264" s="718"/>
      <c r="BH264" s="714"/>
      <c r="BI264" s="715"/>
      <c r="BJ264" s="714"/>
      <c r="BK264" s="714"/>
      <c r="BL264" s="799"/>
      <c r="BM264" s="800"/>
      <c r="BN264" s="801"/>
      <c r="BO264" s="799"/>
      <c r="BP264" s="800"/>
      <c r="BQ264" s="801"/>
      <c r="BR264" s="799"/>
      <c r="BS264" s="800"/>
      <c r="BT264" s="801"/>
    </row>
    <row r="265" spans="1:72" ht="15" thickBot="1">
      <c r="A265" s="723">
        <v>44</v>
      </c>
      <c r="B265" s="776"/>
      <c r="C265" s="729" t="str">
        <f>IFERROR(VLOOKUP(B265,Listados!B$3:C$20,2,FALSE),"")</f>
        <v/>
      </c>
      <c r="D265" s="735" t="s">
        <v>584</v>
      </c>
      <c r="E265" s="105"/>
      <c r="F265" s="18"/>
      <c r="G265" s="735"/>
      <c r="H265" s="763"/>
      <c r="I265" s="763"/>
      <c r="J265" s="763"/>
      <c r="K265" s="763"/>
      <c r="L265" s="763"/>
      <c r="M265" s="763"/>
      <c r="N265" s="763"/>
      <c r="O265" s="763"/>
      <c r="P265" s="763"/>
      <c r="Q265" s="763"/>
      <c r="R265" s="763"/>
      <c r="S265" s="763"/>
      <c r="T265" s="763"/>
      <c r="U265" s="763"/>
      <c r="V265" s="763"/>
      <c r="W265" s="763"/>
      <c r="X265" s="763"/>
      <c r="Y265" s="763"/>
      <c r="Z265" s="762"/>
      <c r="AA265" s="721">
        <f>COUNTIF(H265:Z270, "SI")</f>
        <v>0</v>
      </c>
      <c r="AB265" s="762"/>
      <c r="AC265" s="719" t="e">
        <f>+VLOOKUP(AB265,Listados!$K$8:$L$12,2,0)</f>
        <v>#N/A</v>
      </c>
      <c r="AD265" s="721" t="str">
        <f>+IF(OR(AA265=1,AA265&lt;=5),"Moderado",IF(OR(AA265=6,AA265&lt;=11),"Mayor","Catastrófico"))</f>
        <v>Moderado</v>
      </c>
      <c r="AE265" s="719" t="e">
        <f>+VLOOKUP(AD265,Listados!K271:L275,2,0)</f>
        <v>#N/A</v>
      </c>
      <c r="AF265" s="714" t="str">
        <f>IF(AND(AB265&lt;&gt;"",AD265&lt;&gt;""),VLOOKUP(AB265&amp;AD265,Listados!$M$3:$N$27,2,FALSE),"")</f>
        <v/>
      </c>
      <c r="AG265" s="52" t="s">
        <v>467</v>
      </c>
      <c r="AH265" s="145"/>
      <c r="AI265" s="145"/>
      <c r="AJ265" s="145"/>
      <c r="AK265" s="28" t="str">
        <f t="shared" si="52"/>
        <v/>
      </c>
      <c r="AL265" s="145"/>
      <c r="AM265" s="28" t="str">
        <f t="shared" si="53"/>
        <v/>
      </c>
      <c r="AN265" s="140"/>
      <c r="AO265" s="28" t="str">
        <f t="shared" si="54"/>
        <v/>
      </c>
      <c r="AP265" s="140"/>
      <c r="AQ265" s="28" t="str">
        <f t="shared" si="55"/>
        <v/>
      </c>
      <c r="AR265" s="140"/>
      <c r="AS265" s="28" t="str">
        <f t="shared" si="56"/>
        <v/>
      </c>
      <c r="AT265" s="140"/>
      <c r="AU265" s="28" t="str">
        <f t="shared" si="57"/>
        <v/>
      </c>
      <c r="AV265" s="140"/>
      <c r="AW265" s="28" t="str">
        <f t="shared" si="58"/>
        <v/>
      </c>
      <c r="AX265" s="111" t="str">
        <f t="shared" si="59"/>
        <v/>
      </c>
      <c r="AY265" s="111" t="str">
        <f t="shared" si="60"/>
        <v/>
      </c>
      <c r="AZ265" s="141"/>
      <c r="BA265" s="153" t="str">
        <f t="shared" si="61"/>
        <v>Débil</v>
      </c>
      <c r="BB265" s="22" t="str">
        <f>IFERROR(VLOOKUP((CONCATENATE(AY265,BA265)),Listados!$U$3:$V$11,2,FALSE),"")</f>
        <v/>
      </c>
      <c r="BC265" s="111">
        <f t="shared" si="62"/>
        <v>100</v>
      </c>
      <c r="BD265" s="716">
        <f>AVERAGE(BC265:BC270)</f>
        <v>100</v>
      </c>
      <c r="BE265" s="718" t="str">
        <f>IF(BD265&lt;=50, "Débil", IF(BD265&lt;=99,"Moderado","Fuerte"))</f>
        <v>Fuerte</v>
      </c>
      <c r="BF265" s="716">
        <f>+IF(BE265="Fuerte",2,IF(BE265="Moderado",1,0))</f>
        <v>2</v>
      </c>
      <c r="BG265" s="716" t="e">
        <f>+AC265-BF265</f>
        <v>#N/A</v>
      </c>
      <c r="BH265" s="712" t="e">
        <f>+VLOOKUP(BG265,Listados!$J$18:$K$24,2,TRUE)</f>
        <v>#N/A</v>
      </c>
      <c r="BI265" s="714" t="str">
        <f>IF(ISBLANK(AD265),"",AD265)</f>
        <v>Moderado</v>
      </c>
      <c r="BJ265" s="712" t="e">
        <f>IF(AND(BH265&lt;&gt;"",BI265&lt;&gt;""),VLOOKUP(BH265&amp;BI265,Listados!$M$3:$N$27,2,FALSE),"")</f>
        <v>#N/A</v>
      </c>
      <c r="BK265" s="712" t="e">
        <f>+VLOOKUP(BJ265,Listados!$P$3:$Q$6,2,FALSE)</f>
        <v>#N/A</v>
      </c>
      <c r="BL265" s="799"/>
      <c r="BM265" s="800"/>
      <c r="BN265" s="801"/>
      <c r="BO265" s="799"/>
      <c r="BP265" s="800"/>
      <c r="BQ265" s="801"/>
      <c r="BR265" s="799"/>
      <c r="BS265" s="800"/>
      <c r="BT265" s="801"/>
    </row>
    <row r="266" spans="1:72" ht="15" thickBot="1">
      <c r="A266" s="724"/>
      <c r="B266" s="777"/>
      <c r="C266" s="730"/>
      <c r="D266" s="736"/>
      <c r="E266" s="161"/>
      <c r="F266" s="150"/>
      <c r="G266" s="736"/>
      <c r="H266" s="764"/>
      <c r="I266" s="764"/>
      <c r="J266" s="764"/>
      <c r="K266" s="764"/>
      <c r="L266" s="764"/>
      <c r="M266" s="764"/>
      <c r="N266" s="764"/>
      <c r="O266" s="764"/>
      <c r="P266" s="764"/>
      <c r="Q266" s="764"/>
      <c r="R266" s="764"/>
      <c r="S266" s="764"/>
      <c r="T266" s="764"/>
      <c r="U266" s="764"/>
      <c r="V266" s="764"/>
      <c r="W266" s="764"/>
      <c r="X266" s="764"/>
      <c r="Y266" s="764"/>
      <c r="Z266" s="727"/>
      <c r="AA266" s="722"/>
      <c r="AB266" s="727"/>
      <c r="AC266" s="720"/>
      <c r="AD266" s="722" t="str">
        <f>+IF(OR(AB266=1,AB266&lt;=5),"Moderado",IF(OR(AB266=6,AB266&lt;=11),"Mayor","Catastrófico"))</f>
        <v>Moderado</v>
      </c>
      <c r="AE266" s="720"/>
      <c r="AF266" s="715"/>
      <c r="AG266" s="52" t="s">
        <v>467</v>
      </c>
      <c r="AH266" s="145"/>
      <c r="AI266" s="145"/>
      <c r="AJ266" s="145"/>
      <c r="AK266" s="28" t="str">
        <f t="shared" si="52"/>
        <v/>
      </c>
      <c r="AL266" s="145"/>
      <c r="AM266" s="28" t="str">
        <f t="shared" si="53"/>
        <v/>
      </c>
      <c r="AN266" s="140"/>
      <c r="AO266" s="28" t="str">
        <f t="shared" si="54"/>
        <v/>
      </c>
      <c r="AP266" s="140"/>
      <c r="AQ266" s="28" t="str">
        <f t="shared" si="55"/>
        <v/>
      </c>
      <c r="AR266" s="140"/>
      <c r="AS266" s="28" t="str">
        <f t="shared" si="56"/>
        <v/>
      </c>
      <c r="AT266" s="140"/>
      <c r="AU266" s="28" t="str">
        <f t="shared" si="57"/>
        <v/>
      </c>
      <c r="AV266" s="140"/>
      <c r="AW266" s="28" t="str">
        <f t="shared" si="58"/>
        <v/>
      </c>
      <c r="AX266" s="111" t="str">
        <f t="shared" si="59"/>
        <v/>
      </c>
      <c r="AY266" s="111" t="str">
        <f t="shared" si="60"/>
        <v/>
      </c>
      <c r="AZ266" s="141"/>
      <c r="BA266" s="153" t="str">
        <f t="shared" si="61"/>
        <v>Débil</v>
      </c>
      <c r="BB266" s="22" t="str">
        <f>IFERROR(VLOOKUP((CONCATENATE(AY266,BA266)),Listados!$U$3:$V$11,2,FALSE),"")</f>
        <v/>
      </c>
      <c r="BC266" s="111">
        <f t="shared" si="62"/>
        <v>100</v>
      </c>
      <c r="BD266" s="717"/>
      <c r="BE266" s="761"/>
      <c r="BF266" s="717"/>
      <c r="BG266" s="717"/>
      <c r="BH266" s="713"/>
      <c r="BI266" s="715"/>
      <c r="BJ266" s="713"/>
      <c r="BK266" s="713"/>
      <c r="BL266" s="799"/>
      <c r="BM266" s="800"/>
      <c r="BN266" s="801"/>
      <c r="BO266" s="799"/>
      <c r="BP266" s="800"/>
      <c r="BQ266" s="801"/>
      <c r="BR266" s="799"/>
      <c r="BS266" s="800"/>
      <c r="BT266" s="801"/>
    </row>
    <row r="267" spans="1:72" ht="15" thickBot="1">
      <c r="A267" s="724"/>
      <c r="B267" s="777"/>
      <c r="C267" s="730"/>
      <c r="D267" s="736"/>
      <c r="E267" s="161"/>
      <c r="F267" s="150"/>
      <c r="G267" s="736"/>
      <c r="H267" s="764"/>
      <c r="I267" s="764"/>
      <c r="J267" s="764"/>
      <c r="K267" s="764"/>
      <c r="L267" s="764"/>
      <c r="M267" s="764"/>
      <c r="N267" s="764"/>
      <c r="O267" s="764"/>
      <c r="P267" s="764"/>
      <c r="Q267" s="764"/>
      <c r="R267" s="764"/>
      <c r="S267" s="764"/>
      <c r="T267" s="764"/>
      <c r="U267" s="764"/>
      <c r="V267" s="764"/>
      <c r="W267" s="764"/>
      <c r="X267" s="764"/>
      <c r="Y267" s="764"/>
      <c r="Z267" s="727"/>
      <c r="AA267" s="722"/>
      <c r="AB267" s="727"/>
      <c r="AC267" s="720"/>
      <c r="AD267" s="722" t="str">
        <f>+IF(OR(AB267=1,AB267&lt;=5),"Moderado",IF(OR(AB267=6,AB267&lt;=11),"Mayor","Catastrófico"))</f>
        <v>Moderado</v>
      </c>
      <c r="AE267" s="720"/>
      <c r="AF267" s="715"/>
      <c r="AG267" s="52" t="s">
        <v>467</v>
      </c>
      <c r="AH267" s="145"/>
      <c r="AI267" s="145"/>
      <c r="AJ267" s="145"/>
      <c r="AK267" s="28" t="str">
        <f t="shared" si="52"/>
        <v/>
      </c>
      <c r="AL267" s="145"/>
      <c r="AM267" s="28" t="str">
        <f t="shared" si="53"/>
        <v/>
      </c>
      <c r="AN267" s="140"/>
      <c r="AO267" s="28" t="str">
        <f t="shared" si="54"/>
        <v/>
      </c>
      <c r="AP267" s="140"/>
      <c r="AQ267" s="28" t="str">
        <f t="shared" si="55"/>
        <v/>
      </c>
      <c r="AR267" s="140"/>
      <c r="AS267" s="28" t="str">
        <f t="shared" si="56"/>
        <v/>
      </c>
      <c r="AT267" s="140"/>
      <c r="AU267" s="28" t="str">
        <f t="shared" si="57"/>
        <v/>
      </c>
      <c r="AV267" s="140"/>
      <c r="AW267" s="28" t="str">
        <f t="shared" si="58"/>
        <v/>
      </c>
      <c r="AX267" s="111" t="str">
        <f t="shared" si="59"/>
        <v/>
      </c>
      <c r="AY267" s="111" t="str">
        <f t="shared" si="60"/>
        <v/>
      </c>
      <c r="AZ267" s="141"/>
      <c r="BA267" s="153" t="str">
        <f t="shared" si="61"/>
        <v>Débil</v>
      </c>
      <c r="BB267" s="22" t="str">
        <f>IFERROR(VLOOKUP((CONCATENATE(AY267,BA267)),Listados!$U$3:$V$11,2,FALSE),"")</f>
        <v/>
      </c>
      <c r="BC267" s="111">
        <f t="shared" si="62"/>
        <v>100</v>
      </c>
      <c r="BD267" s="717"/>
      <c r="BE267" s="761"/>
      <c r="BF267" s="717"/>
      <c r="BG267" s="717"/>
      <c r="BH267" s="713"/>
      <c r="BI267" s="715"/>
      <c r="BJ267" s="713"/>
      <c r="BK267" s="713"/>
      <c r="BL267" s="799"/>
      <c r="BM267" s="800"/>
      <c r="BN267" s="801"/>
      <c r="BO267" s="799"/>
      <c r="BP267" s="800"/>
      <c r="BQ267" s="801"/>
      <c r="BR267" s="799"/>
      <c r="BS267" s="800"/>
      <c r="BT267" s="801"/>
    </row>
    <row r="268" spans="1:72" ht="15" thickBot="1">
      <c r="A268" s="724"/>
      <c r="B268" s="777"/>
      <c r="C268" s="730"/>
      <c r="D268" s="736"/>
      <c r="E268" s="755"/>
      <c r="F268" s="769"/>
      <c r="G268" s="736"/>
      <c r="H268" s="764"/>
      <c r="I268" s="764"/>
      <c r="J268" s="764"/>
      <c r="K268" s="764"/>
      <c r="L268" s="764"/>
      <c r="M268" s="764"/>
      <c r="N268" s="764"/>
      <c r="O268" s="764"/>
      <c r="P268" s="764"/>
      <c r="Q268" s="764"/>
      <c r="R268" s="764"/>
      <c r="S268" s="764"/>
      <c r="T268" s="764"/>
      <c r="U268" s="764"/>
      <c r="V268" s="764"/>
      <c r="W268" s="764"/>
      <c r="X268" s="764"/>
      <c r="Y268" s="764"/>
      <c r="Z268" s="727"/>
      <c r="AA268" s="722"/>
      <c r="AB268" s="727"/>
      <c r="AC268" s="720"/>
      <c r="AD268" s="722" t="str">
        <f>+IF(OR(AB268=1,AB268&lt;=5),"Moderado",IF(OR(AB268=6,AB268&lt;=11),"Mayor","Catastrófico"))</f>
        <v>Moderado</v>
      </c>
      <c r="AE268" s="720"/>
      <c r="AF268" s="715"/>
      <c r="AG268" s="52" t="s">
        <v>467</v>
      </c>
      <c r="AH268" s="145"/>
      <c r="AI268" s="145"/>
      <c r="AJ268" s="145"/>
      <c r="AK268" s="28" t="str">
        <f t="shared" si="52"/>
        <v/>
      </c>
      <c r="AL268" s="145"/>
      <c r="AM268" s="28" t="str">
        <f t="shared" si="53"/>
        <v/>
      </c>
      <c r="AN268" s="140"/>
      <c r="AO268" s="28" t="str">
        <f t="shared" si="54"/>
        <v/>
      </c>
      <c r="AP268" s="140"/>
      <c r="AQ268" s="28" t="str">
        <f t="shared" si="55"/>
        <v/>
      </c>
      <c r="AR268" s="140"/>
      <c r="AS268" s="28" t="str">
        <f t="shared" si="56"/>
        <v/>
      </c>
      <c r="AT268" s="140"/>
      <c r="AU268" s="28" t="str">
        <f t="shared" si="57"/>
        <v/>
      </c>
      <c r="AV268" s="140"/>
      <c r="AW268" s="28" t="str">
        <f t="shared" si="58"/>
        <v/>
      </c>
      <c r="AX268" s="111" t="str">
        <f t="shared" si="59"/>
        <v/>
      </c>
      <c r="AY268" s="111" t="str">
        <f t="shared" si="60"/>
        <v/>
      </c>
      <c r="AZ268" s="141"/>
      <c r="BA268" s="153" t="str">
        <f t="shared" si="61"/>
        <v>Débil</v>
      </c>
      <c r="BB268" s="22" t="str">
        <f>IFERROR(VLOOKUP((CONCATENATE(AY268,BA268)),Listados!$U$3:$V$11,2,FALSE),"")</f>
        <v/>
      </c>
      <c r="BC268" s="111">
        <f t="shared" si="62"/>
        <v>100</v>
      </c>
      <c r="BD268" s="717"/>
      <c r="BE268" s="761"/>
      <c r="BF268" s="717"/>
      <c r="BG268" s="717"/>
      <c r="BH268" s="713"/>
      <c r="BI268" s="715"/>
      <c r="BJ268" s="713"/>
      <c r="BK268" s="713"/>
      <c r="BL268" s="799"/>
      <c r="BM268" s="800"/>
      <c r="BN268" s="801"/>
      <c r="BO268" s="799"/>
      <c r="BP268" s="800"/>
      <c r="BQ268" s="801"/>
      <c r="BR268" s="799"/>
      <c r="BS268" s="800"/>
      <c r="BT268" s="801"/>
    </row>
    <row r="269" spans="1:72" ht="15" thickBot="1">
      <c r="A269" s="724"/>
      <c r="B269" s="777"/>
      <c r="C269" s="730"/>
      <c r="D269" s="736"/>
      <c r="E269" s="756"/>
      <c r="F269" s="770"/>
      <c r="G269" s="736"/>
      <c r="H269" s="764"/>
      <c r="I269" s="764"/>
      <c r="J269" s="764"/>
      <c r="K269" s="764"/>
      <c r="L269" s="764"/>
      <c r="M269" s="764"/>
      <c r="N269" s="764"/>
      <c r="O269" s="764"/>
      <c r="P269" s="764"/>
      <c r="Q269" s="764"/>
      <c r="R269" s="764"/>
      <c r="S269" s="764"/>
      <c r="T269" s="764"/>
      <c r="U269" s="764"/>
      <c r="V269" s="764"/>
      <c r="W269" s="764"/>
      <c r="X269" s="764"/>
      <c r="Y269" s="764"/>
      <c r="Z269" s="727"/>
      <c r="AA269" s="722"/>
      <c r="AB269" s="727"/>
      <c r="AC269" s="720"/>
      <c r="AD269" s="722" t="str">
        <f>+IF(OR(AB269=1,AB269&lt;=5),"Moderado",IF(OR(AB269=6,AB269&lt;=11),"Mayor","Catastrófico"))</f>
        <v>Moderado</v>
      </c>
      <c r="AE269" s="720"/>
      <c r="AF269" s="715"/>
      <c r="AG269" s="52" t="s">
        <v>467</v>
      </c>
      <c r="AH269" s="145"/>
      <c r="AI269" s="145"/>
      <c r="AJ269" s="145"/>
      <c r="AK269" s="28" t="str">
        <f t="shared" si="52"/>
        <v/>
      </c>
      <c r="AL269" s="145"/>
      <c r="AM269" s="28" t="str">
        <f t="shared" si="53"/>
        <v/>
      </c>
      <c r="AN269" s="140"/>
      <c r="AO269" s="28" t="str">
        <f t="shared" si="54"/>
        <v/>
      </c>
      <c r="AP269" s="140"/>
      <c r="AQ269" s="28" t="str">
        <f t="shared" si="55"/>
        <v/>
      </c>
      <c r="AR269" s="140"/>
      <c r="AS269" s="28" t="str">
        <f t="shared" si="56"/>
        <v/>
      </c>
      <c r="AT269" s="140"/>
      <c r="AU269" s="28" t="str">
        <f t="shared" si="57"/>
        <v/>
      </c>
      <c r="AV269" s="140"/>
      <c r="AW269" s="28" t="str">
        <f t="shared" si="58"/>
        <v/>
      </c>
      <c r="AX269" s="111" t="str">
        <f t="shared" si="59"/>
        <v/>
      </c>
      <c r="AY269" s="111" t="str">
        <f t="shared" si="60"/>
        <v/>
      </c>
      <c r="AZ269" s="141"/>
      <c r="BA269" s="153" t="str">
        <f t="shared" si="61"/>
        <v>Débil</v>
      </c>
      <c r="BB269" s="22" t="str">
        <f>IFERROR(VLOOKUP((CONCATENATE(AY269,BA269)),Listados!$U$3:$V$11,2,FALSE),"")</f>
        <v/>
      </c>
      <c r="BC269" s="111">
        <f t="shared" si="62"/>
        <v>100</v>
      </c>
      <c r="BD269" s="717"/>
      <c r="BE269" s="761"/>
      <c r="BF269" s="717"/>
      <c r="BG269" s="717"/>
      <c r="BH269" s="713"/>
      <c r="BI269" s="715"/>
      <c r="BJ269" s="713"/>
      <c r="BK269" s="713"/>
      <c r="BL269" s="799"/>
      <c r="BM269" s="800"/>
      <c r="BN269" s="801"/>
      <c r="BO269" s="799"/>
      <c r="BP269" s="800"/>
      <c r="BQ269" s="801"/>
      <c r="BR269" s="799"/>
      <c r="BS269" s="800"/>
      <c r="BT269" s="801"/>
    </row>
    <row r="270" spans="1:72" ht="15" thickBot="1">
      <c r="A270" s="725"/>
      <c r="B270" s="777"/>
      <c r="C270" s="731"/>
      <c r="D270" s="781"/>
      <c r="E270" s="757"/>
      <c r="F270" s="771"/>
      <c r="G270" s="736"/>
      <c r="H270" s="764"/>
      <c r="I270" s="764"/>
      <c r="J270" s="764"/>
      <c r="K270" s="764"/>
      <c r="L270" s="764"/>
      <c r="M270" s="764"/>
      <c r="N270" s="764"/>
      <c r="O270" s="764"/>
      <c r="P270" s="764"/>
      <c r="Q270" s="764"/>
      <c r="R270" s="764"/>
      <c r="S270" s="764"/>
      <c r="T270" s="764"/>
      <c r="U270" s="764"/>
      <c r="V270" s="764"/>
      <c r="W270" s="764"/>
      <c r="X270" s="764"/>
      <c r="Y270" s="764"/>
      <c r="Z270" s="727"/>
      <c r="AA270" s="722"/>
      <c r="AB270" s="727"/>
      <c r="AC270" s="721"/>
      <c r="AD270" s="722" t="str">
        <f>+IF(OR(AB270=1,AB270&lt;=5),"Moderado",IF(OR(AB270=6,AB270&lt;=11),"Mayor","Catastrófico"))</f>
        <v>Moderado</v>
      </c>
      <c r="AE270" s="721"/>
      <c r="AF270" s="715"/>
      <c r="AG270" s="52" t="s">
        <v>467</v>
      </c>
      <c r="AH270" s="145"/>
      <c r="AI270" s="145"/>
      <c r="AJ270" s="145"/>
      <c r="AK270" s="28" t="str">
        <f t="shared" si="52"/>
        <v/>
      </c>
      <c r="AL270" s="145"/>
      <c r="AM270" s="28" t="str">
        <f t="shared" si="53"/>
        <v/>
      </c>
      <c r="AN270" s="140"/>
      <c r="AO270" s="28" t="str">
        <f t="shared" si="54"/>
        <v/>
      </c>
      <c r="AP270" s="140"/>
      <c r="AQ270" s="28" t="str">
        <f t="shared" si="55"/>
        <v/>
      </c>
      <c r="AR270" s="140"/>
      <c r="AS270" s="28" t="str">
        <f t="shared" si="56"/>
        <v/>
      </c>
      <c r="AT270" s="140"/>
      <c r="AU270" s="28" t="str">
        <f t="shared" si="57"/>
        <v/>
      </c>
      <c r="AV270" s="140"/>
      <c r="AW270" s="28" t="str">
        <f t="shared" si="58"/>
        <v/>
      </c>
      <c r="AX270" s="111" t="str">
        <f t="shared" si="59"/>
        <v/>
      </c>
      <c r="AY270" s="111" t="str">
        <f t="shared" si="60"/>
        <v/>
      </c>
      <c r="AZ270" s="141"/>
      <c r="BA270" s="153" t="str">
        <f t="shared" si="61"/>
        <v>Débil</v>
      </c>
      <c r="BB270" s="22" t="str">
        <f>IFERROR(VLOOKUP((CONCATENATE(AY270,BA270)),Listados!$U$3:$V$11,2,FALSE),"")</f>
        <v/>
      </c>
      <c r="BC270" s="111">
        <f t="shared" si="62"/>
        <v>100</v>
      </c>
      <c r="BD270" s="718"/>
      <c r="BE270" s="761"/>
      <c r="BF270" s="718"/>
      <c r="BG270" s="718"/>
      <c r="BH270" s="714"/>
      <c r="BI270" s="715"/>
      <c r="BJ270" s="714"/>
      <c r="BK270" s="714"/>
      <c r="BL270" s="799"/>
      <c r="BM270" s="800"/>
      <c r="BN270" s="801"/>
      <c r="BO270" s="799"/>
      <c r="BP270" s="800"/>
      <c r="BQ270" s="801"/>
      <c r="BR270" s="799"/>
      <c r="BS270" s="800"/>
      <c r="BT270" s="801"/>
    </row>
    <row r="271" spans="1:72" ht="15" thickBot="1">
      <c r="A271" s="723">
        <v>45</v>
      </c>
      <c r="B271" s="776"/>
      <c r="C271" s="729" t="str">
        <f>IFERROR(VLOOKUP(B271,Listados!B$3:C$20,2,FALSE),"")</f>
        <v/>
      </c>
      <c r="D271" s="735" t="s">
        <v>584</v>
      </c>
      <c r="E271" s="105"/>
      <c r="F271" s="18"/>
      <c r="G271" s="735"/>
      <c r="H271" s="763"/>
      <c r="I271" s="763"/>
      <c r="J271" s="763"/>
      <c r="K271" s="763"/>
      <c r="L271" s="763"/>
      <c r="M271" s="763"/>
      <c r="N271" s="763"/>
      <c r="O271" s="763"/>
      <c r="P271" s="763"/>
      <c r="Q271" s="763"/>
      <c r="R271" s="763"/>
      <c r="S271" s="763"/>
      <c r="T271" s="763"/>
      <c r="U271" s="763"/>
      <c r="V271" s="763"/>
      <c r="W271" s="763"/>
      <c r="X271" s="763"/>
      <c r="Y271" s="763"/>
      <c r="Z271" s="762"/>
      <c r="AA271" s="721">
        <f>COUNTIF(H271:Z276, "SI")</f>
        <v>0</v>
      </c>
      <c r="AB271" s="762"/>
      <c r="AC271" s="719" t="e">
        <f>+VLOOKUP(AB271,Listados!$K$8:$L$12,2,0)</f>
        <v>#N/A</v>
      </c>
      <c r="AD271" s="721" t="str">
        <f>+IF(OR(AA271=1,AA271&lt;=5),"Moderado",IF(OR(AA271=6,AA271&lt;=11),"Mayor","Catastrófico"))</f>
        <v>Moderado</v>
      </c>
      <c r="AE271" s="719" t="e">
        <f>+VLOOKUP(AD271,Listados!K277:L281,2,0)</f>
        <v>#N/A</v>
      </c>
      <c r="AF271" s="714" t="str">
        <f>IF(AND(AB271&lt;&gt;"",AD271&lt;&gt;""),VLOOKUP(AB271&amp;AD271,Listados!$M$3:$N$27,2,FALSE),"")</f>
        <v/>
      </c>
      <c r="AG271" s="52" t="s">
        <v>467</v>
      </c>
      <c r="AH271" s="145"/>
      <c r="AI271" s="145"/>
      <c r="AJ271" s="145"/>
      <c r="AK271" s="28" t="str">
        <f t="shared" si="52"/>
        <v/>
      </c>
      <c r="AL271" s="145"/>
      <c r="AM271" s="28" t="str">
        <f t="shared" si="53"/>
        <v/>
      </c>
      <c r="AN271" s="140"/>
      <c r="AO271" s="28" t="str">
        <f t="shared" si="54"/>
        <v/>
      </c>
      <c r="AP271" s="140"/>
      <c r="AQ271" s="28" t="str">
        <f t="shared" si="55"/>
        <v/>
      </c>
      <c r="AR271" s="140"/>
      <c r="AS271" s="28" t="str">
        <f t="shared" si="56"/>
        <v/>
      </c>
      <c r="AT271" s="140"/>
      <c r="AU271" s="28" t="str">
        <f t="shared" si="57"/>
        <v/>
      </c>
      <c r="AV271" s="140"/>
      <c r="AW271" s="28" t="str">
        <f t="shared" si="58"/>
        <v/>
      </c>
      <c r="AX271" s="111" t="str">
        <f t="shared" si="59"/>
        <v/>
      </c>
      <c r="AY271" s="111" t="str">
        <f t="shared" si="60"/>
        <v/>
      </c>
      <c r="AZ271" s="141"/>
      <c r="BA271" s="153" t="str">
        <f t="shared" si="61"/>
        <v>Débil</v>
      </c>
      <c r="BB271" s="22" t="str">
        <f>IFERROR(VLOOKUP((CONCATENATE(AY271,BA271)),Listados!$U$3:$V$11,2,FALSE),"")</f>
        <v/>
      </c>
      <c r="BC271" s="111">
        <f t="shared" si="62"/>
        <v>100</v>
      </c>
      <c r="BD271" s="716">
        <f>AVERAGE(BC271:BC276)</f>
        <v>100</v>
      </c>
      <c r="BE271" s="718" t="str">
        <f>IF(BD271&lt;=50, "Débil", IF(BD271&lt;=99,"Moderado","Fuerte"))</f>
        <v>Fuerte</v>
      </c>
      <c r="BF271" s="716">
        <f>+IF(BE271="Fuerte",2,IF(BE271="Moderado",1,0))</f>
        <v>2</v>
      </c>
      <c r="BG271" s="716" t="e">
        <f>+AC271-BF271</f>
        <v>#N/A</v>
      </c>
      <c r="BH271" s="712" t="e">
        <f>+VLOOKUP(BG271,Listados!$J$18:$K$24,2,TRUE)</f>
        <v>#N/A</v>
      </c>
      <c r="BI271" s="714" t="str">
        <f>IF(ISBLANK(AD271),"",AD271)</f>
        <v>Moderado</v>
      </c>
      <c r="BJ271" s="712" t="e">
        <f>IF(AND(BH271&lt;&gt;"",BI271&lt;&gt;""),VLOOKUP(BH271&amp;BI271,Listados!$M$3:$N$27,2,FALSE),"")</f>
        <v>#N/A</v>
      </c>
      <c r="BK271" s="712" t="e">
        <f>+VLOOKUP(BJ271,Listados!$P$3:$Q$6,2,FALSE)</f>
        <v>#N/A</v>
      </c>
      <c r="BL271" s="799"/>
      <c r="BM271" s="800"/>
      <c r="BN271" s="801"/>
      <c r="BO271" s="799"/>
      <c r="BP271" s="800"/>
      <c r="BQ271" s="801"/>
      <c r="BR271" s="799"/>
      <c r="BS271" s="800"/>
      <c r="BT271" s="801"/>
    </row>
    <row r="272" spans="1:72" ht="15" thickBot="1">
      <c r="A272" s="724"/>
      <c r="B272" s="777"/>
      <c r="C272" s="730"/>
      <c r="D272" s="736"/>
      <c r="E272" s="161"/>
      <c r="F272" s="150"/>
      <c r="G272" s="736"/>
      <c r="H272" s="764"/>
      <c r="I272" s="764"/>
      <c r="J272" s="764"/>
      <c r="K272" s="764"/>
      <c r="L272" s="764"/>
      <c r="M272" s="764"/>
      <c r="N272" s="764"/>
      <c r="O272" s="764"/>
      <c r="P272" s="764"/>
      <c r="Q272" s="764"/>
      <c r="R272" s="764"/>
      <c r="S272" s="764"/>
      <c r="T272" s="764"/>
      <c r="U272" s="764"/>
      <c r="V272" s="764"/>
      <c r="W272" s="764"/>
      <c r="X272" s="764"/>
      <c r="Y272" s="764"/>
      <c r="Z272" s="727"/>
      <c r="AA272" s="722"/>
      <c r="AB272" s="727"/>
      <c r="AC272" s="720"/>
      <c r="AD272" s="722" t="str">
        <f>+IF(OR(AB272=1,AB272&lt;=5),"Moderado",IF(OR(AB272=6,AB272&lt;=11),"Mayor","Catastrófico"))</f>
        <v>Moderado</v>
      </c>
      <c r="AE272" s="720"/>
      <c r="AF272" s="715"/>
      <c r="AG272" s="52" t="s">
        <v>467</v>
      </c>
      <c r="AH272" s="145"/>
      <c r="AI272" s="145"/>
      <c r="AJ272" s="145"/>
      <c r="AK272" s="28" t="str">
        <f t="shared" si="52"/>
        <v/>
      </c>
      <c r="AL272" s="145"/>
      <c r="AM272" s="28" t="str">
        <f t="shared" si="53"/>
        <v/>
      </c>
      <c r="AN272" s="140"/>
      <c r="AO272" s="28" t="str">
        <f t="shared" si="54"/>
        <v/>
      </c>
      <c r="AP272" s="140"/>
      <c r="AQ272" s="28" t="str">
        <f t="shared" si="55"/>
        <v/>
      </c>
      <c r="AR272" s="140"/>
      <c r="AS272" s="28" t="str">
        <f t="shared" si="56"/>
        <v/>
      </c>
      <c r="AT272" s="140"/>
      <c r="AU272" s="28" t="str">
        <f t="shared" si="57"/>
        <v/>
      </c>
      <c r="AV272" s="140"/>
      <c r="AW272" s="28" t="str">
        <f t="shared" si="58"/>
        <v/>
      </c>
      <c r="AX272" s="111" t="str">
        <f t="shared" si="59"/>
        <v/>
      </c>
      <c r="AY272" s="111" t="str">
        <f t="shared" si="60"/>
        <v/>
      </c>
      <c r="AZ272" s="141"/>
      <c r="BA272" s="153" t="str">
        <f t="shared" si="61"/>
        <v>Débil</v>
      </c>
      <c r="BB272" s="22" t="str">
        <f>IFERROR(VLOOKUP((CONCATENATE(AY272,BA272)),Listados!$U$3:$V$11,2,FALSE),"")</f>
        <v/>
      </c>
      <c r="BC272" s="111">
        <f t="shared" si="62"/>
        <v>100</v>
      </c>
      <c r="BD272" s="717"/>
      <c r="BE272" s="761"/>
      <c r="BF272" s="717"/>
      <c r="BG272" s="717"/>
      <c r="BH272" s="713"/>
      <c r="BI272" s="715"/>
      <c r="BJ272" s="713"/>
      <c r="BK272" s="713"/>
      <c r="BL272" s="799"/>
      <c r="BM272" s="800"/>
      <c r="BN272" s="801"/>
      <c r="BO272" s="799"/>
      <c r="BP272" s="800"/>
      <c r="BQ272" s="801"/>
      <c r="BR272" s="799"/>
      <c r="BS272" s="800"/>
      <c r="BT272" s="801"/>
    </row>
    <row r="273" spans="1:72" ht="15" thickBot="1">
      <c r="A273" s="724"/>
      <c r="B273" s="777"/>
      <c r="C273" s="730"/>
      <c r="D273" s="736"/>
      <c r="E273" s="161"/>
      <c r="F273" s="150"/>
      <c r="G273" s="736"/>
      <c r="H273" s="764"/>
      <c r="I273" s="764"/>
      <c r="J273" s="764"/>
      <c r="K273" s="764"/>
      <c r="L273" s="764"/>
      <c r="M273" s="764"/>
      <c r="N273" s="764"/>
      <c r="O273" s="764"/>
      <c r="P273" s="764"/>
      <c r="Q273" s="764"/>
      <c r="R273" s="764"/>
      <c r="S273" s="764"/>
      <c r="T273" s="764"/>
      <c r="U273" s="764"/>
      <c r="V273" s="764"/>
      <c r="W273" s="764"/>
      <c r="X273" s="764"/>
      <c r="Y273" s="764"/>
      <c r="Z273" s="727"/>
      <c r="AA273" s="722"/>
      <c r="AB273" s="727"/>
      <c r="AC273" s="720"/>
      <c r="AD273" s="722" t="str">
        <f>+IF(OR(AB273=1,AB273&lt;=5),"Moderado",IF(OR(AB273=6,AB273&lt;=11),"Mayor","Catastrófico"))</f>
        <v>Moderado</v>
      </c>
      <c r="AE273" s="720"/>
      <c r="AF273" s="715"/>
      <c r="AG273" s="52" t="s">
        <v>467</v>
      </c>
      <c r="AH273" s="145"/>
      <c r="AI273" s="145"/>
      <c r="AJ273" s="145"/>
      <c r="AK273" s="28" t="str">
        <f t="shared" si="52"/>
        <v/>
      </c>
      <c r="AL273" s="145"/>
      <c r="AM273" s="28" t="str">
        <f t="shared" si="53"/>
        <v/>
      </c>
      <c r="AN273" s="140"/>
      <c r="AO273" s="28" t="str">
        <f t="shared" si="54"/>
        <v/>
      </c>
      <c r="AP273" s="140"/>
      <c r="AQ273" s="28" t="str">
        <f t="shared" si="55"/>
        <v/>
      </c>
      <c r="AR273" s="140"/>
      <c r="AS273" s="28" t="str">
        <f t="shared" si="56"/>
        <v/>
      </c>
      <c r="AT273" s="140"/>
      <c r="AU273" s="28" t="str">
        <f t="shared" si="57"/>
        <v/>
      </c>
      <c r="AV273" s="140"/>
      <c r="AW273" s="28" t="str">
        <f t="shared" si="58"/>
        <v/>
      </c>
      <c r="AX273" s="111" t="str">
        <f t="shared" si="59"/>
        <v/>
      </c>
      <c r="AY273" s="111" t="str">
        <f t="shared" si="60"/>
        <v/>
      </c>
      <c r="AZ273" s="141"/>
      <c r="BA273" s="153" t="str">
        <f t="shared" si="61"/>
        <v>Débil</v>
      </c>
      <c r="BB273" s="22" t="str">
        <f>IFERROR(VLOOKUP((CONCATENATE(AY273,BA273)),Listados!$U$3:$V$11,2,FALSE),"")</f>
        <v/>
      </c>
      <c r="BC273" s="111">
        <f t="shared" si="62"/>
        <v>100</v>
      </c>
      <c r="BD273" s="717"/>
      <c r="BE273" s="761"/>
      <c r="BF273" s="717"/>
      <c r="BG273" s="717"/>
      <c r="BH273" s="713"/>
      <c r="BI273" s="715"/>
      <c r="BJ273" s="713"/>
      <c r="BK273" s="713"/>
      <c r="BL273" s="799"/>
      <c r="BM273" s="800"/>
      <c r="BN273" s="801"/>
      <c r="BO273" s="799"/>
      <c r="BP273" s="800"/>
      <c r="BQ273" s="801"/>
      <c r="BR273" s="799"/>
      <c r="BS273" s="800"/>
      <c r="BT273" s="801"/>
    </row>
    <row r="274" spans="1:72" ht="15" thickBot="1">
      <c r="A274" s="724"/>
      <c r="B274" s="777"/>
      <c r="C274" s="730"/>
      <c r="D274" s="736"/>
      <c r="E274" s="755"/>
      <c r="F274" s="769"/>
      <c r="G274" s="736"/>
      <c r="H274" s="764"/>
      <c r="I274" s="764"/>
      <c r="J274" s="764"/>
      <c r="K274" s="764"/>
      <c r="L274" s="764"/>
      <c r="M274" s="764"/>
      <c r="N274" s="764"/>
      <c r="O274" s="764"/>
      <c r="P274" s="764"/>
      <c r="Q274" s="764"/>
      <c r="R274" s="764"/>
      <c r="S274" s="764"/>
      <c r="T274" s="764"/>
      <c r="U274" s="764"/>
      <c r="V274" s="764"/>
      <c r="W274" s="764"/>
      <c r="X274" s="764"/>
      <c r="Y274" s="764"/>
      <c r="Z274" s="727"/>
      <c r="AA274" s="722"/>
      <c r="AB274" s="727"/>
      <c r="AC274" s="720"/>
      <c r="AD274" s="722" t="str">
        <f>+IF(OR(AB274=1,AB274&lt;=5),"Moderado",IF(OR(AB274=6,AB274&lt;=11),"Mayor","Catastrófico"))</f>
        <v>Moderado</v>
      </c>
      <c r="AE274" s="720"/>
      <c r="AF274" s="715"/>
      <c r="AG274" s="52" t="s">
        <v>467</v>
      </c>
      <c r="AH274" s="145"/>
      <c r="AI274" s="145"/>
      <c r="AJ274" s="145"/>
      <c r="AK274" s="28" t="str">
        <f t="shared" si="52"/>
        <v/>
      </c>
      <c r="AL274" s="145"/>
      <c r="AM274" s="28" t="str">
        <f t="shared" si="53"/>
        <v/>
      </c>
      <c r="AN274" s="140"/>
      <c r="AO274" s="28" t="str">
        <f t="shared" si="54"/>
        <v/>
      </c>
      <c r="AP274" s="140"/>
      <c r="AQ274" s="28" t="str">
        <f t="shared" si="55"/>
        <v/>
      </c>
      <c r="AR274" s="140"/>
      <c r="AS274" s="28" t="str">
        <f t="shared" si="56"/>
        <v/>
      </c>
      <c r="AT274" s="140"/>
      <c r="AU274" s="28" t="str">
        <f t="shared" si="57"/>
        <v/>
      </c>
      <c r="AV274" s="140"/>
      <c r="AW274" s="28" t="str">
        <f t="shared" si="58"/>
        <v/>
      </c>
      <c r="AX274" s="111" t="str">
        <f t="shared" si="59"/>
        <v/>
      </c>
      <c r="AY274" s="111" t="str">
        <f t="shared" si="60"/>
        <v/>
      </c>
      <c r="AZ274" s="141"/>
      <c r="BA274" s="153" t="str">
        <f t="shared" si="61"/>
        <v>Débil</v>
      </c>
      <c r="BB274" s="22" t="str">
        <f>IFERROR(VLOOKUP((CONCATENATE(AY274,BA274)),Listados!$U$3:$V$11,2,FALSE),"")</f>
        <v/>
      </c>
      <c r="BC274" s="111">
        <f t="shared" si="62"/>
        <v>100</v>
      </c>
      <c r="BD274" s="717"/>
      <c r="BE274" s="761"/>
      <c r="BF274" s="717"/>
      <c r="BG274" s="717"/>
      <c r="BH274" s="713"/>
      <c r="BI274" s="715"/>
      <c r="BJ274" s="713"/>
      <c r="BK274" s="713"/>
      <c r="BL274" s="799"/>
      <c r="BM274" s="800"/>
      <c r="BN274" s="801"/>
      <c r="BO274" s="799"/>
      <c r="BP274" s="800"/>
      <c r="BQ274" s="801"/>
      <c r="BR274" s="799"/>
      <c r="BS274" s="800"/>
      <c r="BT274" s="801"/>
    </row>
    <row r="275" spans="1:72" ht="15" thickBot="1">
      <c r="A275" s="724"/>
      <c r="B275" s="777"/>
      <c r="C275" s="730"/>
      <c r="D275" s="736"/>
      <c r="E275" s="756"/>
      <c r="F275" s="770"/>
      <c r="G275" s="736"/>
      <c r="H275" s="764"/>
      <c r="I275" s="764"/>
      <c r="J275" s="764"/>
      <c r="K275" s="764"/>
      <c r="L275" s="764"/>
      <c r="M275" s="764"/>
      <c r="N275" s="764"/>
      <c r="O275" s="764"/>
      <c r="P275" s="764"/>
      <c r="Q275" s="764"/>
      <c r="R275" s="764"/>
      <c r="S275" s="764"/>
      <c r="T275" s="764"/>
      <c r="U275" s="764"/>
      <c r="V275" s="764"/>
      <c r="W275" s="764"/>
      <c r="X275" s="764"/>
      <c r="Y275" s="764"/>
      <c r="Z275" s="727"/>
      <c r="AA275" s="722"/>
      <c r="AB275" s="727"/>
      <c r="AC275" s="720"/>
      <c r="AD275" s="722" t="str">
        <f>+IF(OR(AB275=1,AB275&lt;=5),"Moderado",IF(OR(AB275=6,AB275&lt;=11),"Mayor","Catastrófico"))</f>
        <v>Moderado</v>
      </c>
      <c r="AE275" s="720"/>
      <c r="AF275" s="715"/>
      <c r="AG275" s="52" t="s">
        <v>467</v>
      </c>
      <c r="AH275" s="145"/>
      <c r="AI275" s="145"/>
      <c r="AJ275" s="145"/>
      <c r="AK275" s="28" t="str">
        <f t="shared" si="52"/>
        <v/>
      </c>
      <c r="AL275" s="145"/>
      <c r="AM275" s="28" t="str">
        <f t="shared" si="53"/>
        <v/>
      </c>
      <c r="AN275" s="140"/>
      <c r="AO275" s="28" t="str">
        <f t="shared" si="54"/>
        <v/>
      </c>
      <c r="AP275" s="140"/>
      <c r="AQ275" s="28" t="str">
        <f t="shared" si="55"/>
        <v/>
      </c>
      <c r="AR275" s="140"/>
      <c r="AS275" s="28" t="str">
        <f t="shared" si="56"/>
        <v/>
      </c>
      <c r="AT275" s="140"/>
      <c r="AU275" s="28" t="str">
        <f t="shared" si="57"/>
        <v/>
      </c>
      <c r="AV275" s="140"/>
      <c r="AW275" s="28" t="str">
        <f t="shared" si="58"/>
        <v/>
      </c>
      <c r="AX275" s="111" t="str">
        <f t="shared" si="59"/>
        <v/>
      </c>
      <c r="AY275" s="111" t="str">
        <f t="shared" si="60"/>
        <v/>
      </c>
      <c r="AZ275" s="141"/>
      <c r="BA275" s="153" t="str">
        <f t="shared" si="61"/>
        <v>Débil</v>
      </c>
      <c r="BB275" s="22" t="str">
        <f>IFERROR(VLOOKUP((CONCATENATE(AY275,BA275)),Listados!$U$3:$V$11,2,FALSE),"")</f>
        <v/>
      </c>
      <c r="BC275" s="111">
        <f t="shared" si="62"/>
        <v>100</v>
      </c>
      <c r="BD275" s="717"/>
      <c r="BE275" s="761"/>
      <c r="BF275" s="717"/>
      <c r="BG275" s="717"/>
      <c r="BH275" s="713"/>
      <c r="BI275" s="715"/>
      <c r="BJ275" s="713"/>
      <c r="BK275" s="713"/>
      <c r="BL275" s="799"/>
      <c r="BM275" s="800"/>
      <c r="BN275" s="801"/>
      <c r="BO275" s="799"/>
      <c r="BP275" s="800"/>
      <c r="BQ275" s="801"/>
      <c r="BR275" s="799"/>
      <c r="BS275" s="800"/>
      <c r="BT275" s="801"/>
    </row>
    <row r="276" spans="1:72" ht="15" thickBot="1">
      <c r="A276" s="725"/>
      <c r="B276" s="777"/>
      <c r="C276" s="731"/>
      <c r="D276" s="781"/>
      <c r="E276" s="757"/>
      <c r="F276" s="771"/>
      <c r="G276" s="736"/>
      <c r="H276" s="764"/>
      <c r="I276" s="764"/>
      <c r="J276" s="764"/>
      <c r="K276" s="764"/>
      <c r="L276" s="764"/>
      <c r="M276" s="764"/>
      <c r="N276" s="764"/>
      <c r="O276" s="764"/>
      <c r="P276" s="764"/>
      <c r="Q276" s="764"/>
      <c r="R276" s="764"/>
      <c r="S276" s="764"/>
      <c r="T276" s="764"/>
      <c r="U276" s="764"/>
      <c r="V276" s="764"/>
      <c r="W276" s="764"/>
      <c r="X276" s="764"/>
      <c r="Y276" s="764"/>
      <c r="Z276" s="727"/>
      <c r="AA276" s="722"/>
      <c r="AB276" s="727"/>
      <c r="AC276" s="721"/>
      <c r="AD276" s="722" t="str">
        <f>+IF(OR(AB276=1,AB276&lt;=5),"Moderado",IF(OR(AB276=6,AB276&lt;=11),"Mayor","Catastrófico"))</f>
        <v>Moderado</v>
      </c>
      <c r="AE276" s="721"/>
      <c r="AF276" s="715"/>
      <c r="AG276" s="52" t="s">
        <v>467</v>
      </c>
      <c r="AH276" s="145"/>
      <c r="AI276" s="145"/>
      <c r="AJ276" s="145"/>
      <c r="AK276" s="28" t="str">
        <f t="shared" si="52"/>
        <v/>
      </c>
      <c r="AL276" s="145"/>
      <c r="AM276" s="28" t="str">
        <f t="shared" si="53"/>
        <v/>
      </c>
      <c r="AN276" s="140"/>
      <c r="AO276" s="28" t="str">
        <f t="shared" si="54"/>
        <v/>
      </c>
      <c r="AP276" s="140"/>
      <c r="AQ276" s="28" t="str">
        <f t="shared" si="55"/>
        <v/>
      </c>
      <c r="AR276" s="140"/>
      <c r="AS276" s="28" t="str">
        <f t="shared" si="56"/>
        <v/>
      </c>
      <c r="AT276" s="140"/>
      <c r="AU276" s="28" t="str">
        <f t="shared" si="57"/>
        <v/>
      </c>
      <c r="AV276" s="140"/>
      <c r="AW276" s="28" t="str">
        <f t="shared" si="58"/>
        <v/>
      </c>
      <c r="AX276" s="111" t="str">
        <f t="shared" si="59"/>
        <v/>
      </c>
      <c r="AY276" s="111" t="str">
        <f t="shared" si="60"/>
        <v/>
      </c>
      <c r="AZ276" s="141"/>
      <c r="BA276" s="153" t="str">
        <f t="shared" si="61"/>
        <v>Débil</v>
      </c>
      <c r="BB276" s="22" t="str">
        <f>IFERROR(VLOOKUP((CONCATENATE(AY276,BA276)),Listados!$U$3:$V$11,2,FALSE),"")</f>
        <v/>
      </c>
      <c r="BC276" s="111">
        <f t="shared" si="62"/>
        <v>100</v>
      </c>
      <c r="BD276" s="718"/>
      <c r="BE276" s="761"/>
      <c r="BF276" s="718"/>
      <c r="BG276" s="718"/>
      <c r="BH276" s="714"/>
      <c r="BI276" s="715"/>
      <c r="BJ276" s="714"/>
      <c r="BK276" s="714"/>
      <c r="BL276" s="799"/>
      <c r="BM276" s="800"/>
      <c r="BN276" s="801"/>
      <c r="BO276" s="799"/>
      <c r="BP276" s="800"/>
      <c r="BQ276" s="801"/>
      <c r="BR276" s="799"/>
      <c r="BS276" s="800"/>
      <c r="BT276" s="801"/>
    </row>
    <row r="277" spans="1:72" ht="15" thickBot="1">
      <c r="A277" s="723">
        <v>46</v>
      </c>
      <c r="B277" s="776"/>
      <c r="C277" s="729" t="str">
        <f>IFERROR(VLOOKUP(B277,Listados!B$3:C$20,2,FALSE),"")</f>
        <v/>
      </c>
      <c r="D277" s="735" t="s">
        <v>584</v>
      </c>
      <c r="E277" s="105"/>
      <c r="F277" s="18"/>
      <c r="G277" s="735"/>
      <c r="H277" s="763"/>
      <c r="I277" s="763"/>
      <c r="J277" s="763"/>
      <c r="K277" s="763"/>
      <c r="L277" s="763"/>
      <c r="M277" s="763"/>
      <c r="N277" s="763"/>
      <c r="O277" s="763"/>
      <c r="P277" s="763"/>
      <c r="Q277" s="763"/>
      <c r="R277" s="763"/>
      <c r="S277" s="763"/>
      <c r="T277" s="763"/>
      <c r="U277" s="763"/>
      <c r="V277" s="763"/>
      <c r="W277" s="763"/>
      <c r="X277" s="763"/>
      <c r="Y277" s="763"/>
      <c r="Z277" s="762"/>
      <c r="AA277" s="721">
        <f>COUNTIF(H277:Z282, "SI")</f>
        <v>0</v>
      </c>
      <c r="AB277" s="762"/>
      <c r="AC277" s="719" t="e">
        <f>+VLOOKUP(AB277,Listados!$K$8:$L$12,2,0)</f>
        <v>#N/A</v>
      </c>
      <c r="AD277" s="721" t="str">
        <f>+IF(OR(AA277=1,AA277&lt;=5),"Moderado",IF(OR(AA277=6,AA277&lt;=11),"Mayor","Catastrófico"))</f>
        <v>Moderado</v>
      </c>
      <c r="AE277" s="719" t="e">
        <f>+VLOOKUP(AD277,Listados!K283:L287,2,0)</f>
        <v>#N/A</v>
      </c>
      <c r="AF277" s="714" t="str">
        <f>IF(AND(AB277&lt;&gt;"",AD277&lt;&gt;""),VLOOKUP(AB277&amp;AD277,Listados!$M$3:$N$27,2,FALSE),"")</f>
        <v/>
      </c>
      <c r="AG277" s="52" t="s">
        <v>467</v>
      </c>
      <c r="AH277" s="145"/>
      <c r="AI277" s="145"/>
      <c r="AJ277" s="145"/>
      <c r="AK277" s="28" t="str">
        <f t="shared" si="52"/>
        <v/>
      </c>
      <c r="AL277" s="145"/>
      <c r="AM277" s="28" t="str">
        <f t="shared" si="53"/>
        <v/>
      </c>
      <c r="AN277" s="140"/>
      <c r="AO277" s="28" t="str">
        <f t="shared" si="54"/>
        <v/>
      </c>
      <c r="AP277" s="140"/>
      <c r="AQ277" s="28" t="str">
        <f t="shared" si="55"/>
        <v/>
      </c>
      <c r="AR277" s="140"/>
      <c r="AS277" s="28" t="str">
        <f t="shared" si="56"/>
        <v/>
      </c>
      <c r="AT277" s="140"/>
      <c r="AU277" s="28" t="str">
        <f t="shared" si="57"/>
        <v/>
      </c>
      <c r="AV277" s="140"/>
      <c r="AW277" s="28" t="str">
        <f t="shared" si="58"/>
        <v/>
      </c>
      <c r="AX277" s="111" t="str">
        <f t="shared" si="59"/>
        <v/>
      </c>
      <c r="AY277" s="111" t="str">
        <f t="shared" si="60"/>
        <v/>
      </c>
      <c r="AZ277" s="141"/>
      <c r="BA277" s="153" t="str">
        <f t="shared" si="61"/>
        <v>Débil</v>
      </c>
      <c r="BB277" s="22" t="str">
        <f>IFERROR(VLOOKUP((CONCATENATE(AY277,BA277)),Listados!$U$3:$V$11,2,FALSE),"")</f>
        <v/>
      </c>
      <c r="BC277" s="111">
        <f t="shared" si="62"/>
        <v>100</v>
      </c>
      <c r="BD277" s="716">
        <f>AVERAGE(BC277:BC282)</f>
        <v>100</v>
      </c>
      <c r="BE277" s="718" t="str">
        <f>IF(BD277&lt;=50, "Débil", IF(BD277&lt;=99,"Moderado","Fuerte"))</f>
        <v>Fuerte</v>
      </c>
      <c r="BF277" s="716">
        <f>+IF(BE277="Fuerte",2,IF(BE277="Moderado",1,0))</f>
        <v>2</v>
      </c>
      <c r="BG277" s="716" t="e">
        <f>+AC277-BF277</f>
        <v>#N/A</v>
      </c>
      <c r="BH277" s="712" t="e">
        <f>+VLOOKUP(BG277,Listados!$J$18:$K$24,2,TRUE)</f>
        <v>#N/A</v>
      </c>
      <c r="BI277" s="714" t="str">
        <f>IF(ISBLANK(AD277),"",AD277)</f>
        <v>Moderado</v>
      </c>
      <c r="BJ277" s="712" t="e">
        <f>IF(AND(BH277&lt;&gt;"",BI277&lt;&gt;""),VLOOKUP(BH277&amp;BI277,Listados!$M$3:$N$27,2,FALSE),"")</f>
        <v>#N/A</v>
      </c>
      <c r="BK277" s="712" t="e">
        <f>+VLOOKUP(BJ277,Listados!$P$3:$Q$6,2,FALSE)</f>
        <v>#N/A</v>
      </c>
      <c r="BL277" s="799"/>
      <c r="BM277" s="800"/>
      <c r="BN277" s="801"/>
      <c r="BO277" s="799"/>
      <c r="BP277" s="800"/>
      <c r="BQ277" s="801"/>
      <c r="BR277" s="799"/>
      <c r="BS277" s="800"/>
      <c r="BT277" s="801"/>
    </row>
    <row r="278" spans="1:72" ht="15" thickBot="1">
      <c r="A278" s="724"/>
      <c r="B278" s="777"/>
      <c r="C278" s="730"/>
      <c r="D278" s="736"/>
      <c r="E278" s="161"/>
      <c r="F278" s="150"/>
      <c r="G278" s="736"/>
      <c r="H278" s="764"/>
      <c r="I278" s="764"/>
      <c r="J278" s="764"/>
      <c r="K278" s="764"/>
      <c r="L278" s="764"/>
      <c r="M278" s="764"/>
      <c r="N278" s="764"/>
      <c r="O278" s="764"/>
      <c r="P278" s="764"/>
      <c r="Q278" s="764"/>
      <c r="R278" s="764"/>
      <c r="S278" s="764"/>
      <c r="T278" s="764"/>
      <c r="U278" s="764"/>
      <c r="V278" s="764"/>
      <c r="W278" s="764"/>
      <c r="X278" s="764"/>
      <c r="Y278" s="764"/>
      <c r="Z278" s="727"/>
      <c r="AA278" s="722"/>
      <c r="AB278" s="727"/>
      <c r="AC278" s="720"/>
      <c r="AD278" s="722" t="str">
        <f>+IF(OR(AB278=1,AB278&lt;=5),"Moderado",IF(OR(AB278=6,AB278&lt;=11),"Mayor","Catastrófico"))</f>
        <v>Moderado</v>
      </c>
      <c r="AE278" s="720"/>
      <c r="AF278" s="715"/>
      <c r="AG278" s="52" t="s">
        <v>467</v>
      </c>
      <c r="AH278" s="145"/>
      <c r="AI278" s="145"/>
      <c r="AJ278" s="145"/>
      <c r="AK278" s="28" t="str">
        <f t="shared" si="52"/>
        <v/>
      </c>
      <c r="AL278" s="145"/>
      <c r="AM278" s="28" t="str">
        <f t="shared" si="53"/>
        <v/>
      </c>
      <c r="AN278" s="140"/>
      <c r="AO278" s="28" t="str">
        <f t="shared" si="54"/>
        <v/>
      </c>
      <c r="AP278" s="140"/>
      <c r="AQ278" s="28" t="str">
        <f t="shared" si="55"/>
        <v/>
      </c>
      <c r="AR278" s="140"/>
      <c r="AS278" s="28" t="str">
        <f t="shared" si="56"/>
        <v/>
      </c>
      <c r="AT278" s="140"/>
      <c r="AU278" s="28" t="str">
        <f t="shared" si="57"/>
        <v/>
      </c>
      <c r="AV278" s="140"/>
      <c r="AW278" s="28" t="str">
        <f t="shared" si="58"/>
        <v/>
      </c>
      <c r="AX278" s="111" t="str">
        <f t="shared" si="59"/>
        <v/>
      </c>
      <c r="AY278" s="111" t="str">
        <f t="shared" si="60"/>
        <v/>
      </c>
      <c r="AZ278" s="141"/>
      <c r="BA278" s="153" t="str">
        <f t="shared" si="61"/>
        <v>Débil</v>
      </c>
      <c r="BB278" s="22" t="str">
        <f>IFERROR(VLOOKUP((CONCATENATE(AY278,BA278)),Listados!$U$3:$V$11,2,FALSE),"")</f>
        <v/>
      </c>
      <c r="BC278" s="111">
        <f t="shared" si="62"/>
        <v>100</v>
      </c>
      <c r="BD278" s="717"/>
      <c r="BE278" s="761"/>
      <c r="BF278" s="717"/>
      <c r="BG278" s="717"/>
      <c r="BH278" s="713"/>
      <c r="BI278" s="715"/>
      <c r="BJ278" s="713"/>
      <c r="BK278" s="713"/>
      <c r="BL278" s="799"/>
      <c r="BM278" s="800"/>
      <c r="BN278" s="801"/>
      <c r="BO278" s="799"/>
      <c r="BP278" s="800"/>
      <c r="BQ278" s="801"/>
      <c r="BR278" s="799"/>
      <c r="BS278" s="800"/>
      <c r="BT278" s="801"/>
    </row>
    <row r="279" spans="1:72" ht="15" thickBot="1">
      <c r="A279" s="724"/>
      <c r="B279" s="777"/>
      <c r="C279" s="730"/>
      <c r="D279" s="736"/>
      <c r="E279" s="161"/>
      <c r="F279" s="150"/>
      <c r="G279" s="736"/>
      <c r="H279" s="764"/>
      <c r="I279" s="764"/>
      <c r="J279" s="764"/>
      <c r="K279" s="764"/>
      <c r="L279" s="764"/>
      <c r="M279" s="764"/>
      <c r="N279" s="764"/>
      <c r="O279" s="764"/>
      <c r="P279" s="764"/>
      <c r="Q279" s="764"/>
      <c r="R279" s="764"/>
      <c r="S279" s="764"/>
      <c r="T279" s="764"/>
      <c r="U279" s="764"/>
      <c r="V279" s="764"/>
      <c r="W279" s="764"/>
      <c r="X279" s="764"/>
      <c r="Y279" s="764"/>
      <c r="Z279" s="727"/>
      <c r="AA279" s="722"/>
      <c r="AB279" s="727"/>
      <c r="AC279" s="720"/>
      <c r="AD279" s="722" t="str">
        <f>+IF(OR(AB279=1,AB279&lt;=5),"Moderado",IF(OR(AB279=6,AB279&lt;=11),"Mayor","Catastrófico"))</f>
        <v>Moderado</v>
      </c>
      <c r="AE279" s="720"/>
      <c r="AF279" s="715"/>
      <c r="AG279" s="52" t="s">
        <v>467</v>
      </c>
      <c r="AH279" s="145"/>
      <c r="AI279" s="145"/>
      <c r="AJ279" s="145"/>
      <c r="AK279" s="28" t="str">
        <f t="shared" si="52"/>
        <v/>
      </c>
      <c r="AL279" s="145"/>
      <c r="AM279" s="28" t="str">
        <f t="shared" si="53"/>
        <v/>
      </c>
      <c r="AN279" s="140"/>
      <c r="AO279" s="28" t="str">
        <f t="shared" si="54"/>
        <v/>
      </c>
      <c r="AP279" s="140"/>
      <c r="AQ279" s="28" t="str">
        <f t="shared" si="55"/>
        <v/>
      </c>
      <c r="AR279" s="140"/>
      <c r="AS279" s="28" t="str">
        <f t="shared" si="56"/>
        <v/>
      </c>
      <c r="AT279" s="140"/>
      <c r="AU279" s="28" t="str">
        <f t="shared" si="57"/>
        <v/>
      </c>
      <c r="AV279" s="140"/>
      <c r="AW279" s="28" t="str">
        <f t="shared" si="58"/>
        <v/>
      </c>
      <c r="AX279" s="111" t="str">
        <f t="shared" si="59"/>
        <v/>
      </c>
      <c r="AY279" s="111" t="str">
        <f t="shared" si="60"/>
        <v/>
      </c>
      <c r="AZ279" s="141"/>
      <c r="BA279" s="153" t="str">
        <f t="shared" si="61"/>
        <v>Débil</v>
      </c>
      <c r="BB279" s="22" t="str">
        <f>IFERROR(VLOOKUP((CONCATENATE(AY279,BA279)),Listados!$U$3:$V$11,2,FALSE),"")</f>
        <v/>
      </c>
      <c r="BC279" s="111">
        <f t="shared" si="62"/>
        <v>100</v>
      </c>
      <c r="BD279" s="717"/>
      <c r="BE279" s="761"/>
      <c r="BF279" s="717"/>
      <c r="BG279" s="717"/>
      <c r="BH279" s="713"/>
      <c r="BI279" s="715"/>
      <c r="BJ279" s="713"/>
      <c r="BK279" s="713"/>
      <c r="BL279" s="799"/>
      <c r="BM279" s="800"/>
      <c r="BN279" s="801"/>
      <c r="BO279" s="799"/>
      <c r="BP279" s="800"/>
      <c r="BQ279" s="801"/>
      <c r="BR279" s="799"/>
      <c r="BS279" s="800"/>
      <c r="BT279" s="801"/>
    </row>
    <row r="280" spans="1:72" ht="15" thickBot="1">
      <c r="A280" s="724"/>
      <c r="B280" s="777"/>
      <c r="C280" s="730"/>
      <c r="D280" s="736"/>
      <c r="E280" s="755"/>
      <c r="F280" s="769"/>
      <c r="G280" s="736"/>
      <c r="H280" s="764"/>
      <c r="I280" s="764"/>
      <c r="J280" s="764"/>
      <c r="K280" s="764"/>
      <c r="L280" s="764"/>
      <c r="M280" s="764"/>
      <c r="N280" s="764"/>
      <c r="O280" s="764"/>
      <c r="P280" s="764"/>
      <c r="Q280" s="764"/>
      <c r="R280" s="764"/>
      <c r="S280" s="764"/>
      <c r="T280" s="764"/>
      <c r="U280" s="764"/>
      <c r="V280" s="764"/>
      <c r="W280" s="764"/>
      <c r="X280" s="764"/>
      <c r="Y280" s="764"/>
      <c r="Z280" s="727"/>
      <c r="AA280" s="722"/>
      <c r="AB280" s="727"/>
      <c r="AC280" s="720"/>
      <c r="AD280" s="722" t="str">
        <f>+IF(OR(AB280=1,AB280&lt;=5),"Moderado",IF(OR(AB280=6,AB280&lt;=11),"Mayor","Catastrófico"))</f>
        <v>Moderado</v>
      </c>
      <c r="AE280" s="720"/>
      <c r="AF280" s="715"/>
      <c r="AG280" s="52" t="s">
        <v>467</v>
      </c>
      <c r="AH280" s="145"/>
      <c r="AI280" s="145"/>
      <c r="AJ280" s="145"/>
      <c r="AK280" s="28" t="str">
        <f t="shared" si="52"/>
        <v/>
      </c>
      <c r="AL280" s="145"/>
      <c r="AM280" s="28" t="str">
        <f t="shared" si="53"/>
        <v/>
      </c>
      <c r="AN280" s="140"/>
      <c r="AO280" s="28" t="str">
        <f t="shared" si="54"/>
        <v/>
      </c>
      <c r="AP280" s="140"/>
      <c r="AQ280" s="28" t="str">
        <f t="shared" si="55"/>
        <v/>
      </c>
      <c r="AR280" s="140"/>
      <c r="AS280" s="28" t="str">
        <f t="shared" si="56"/>
        <v/>
      </c>
      <c r="AT280" s="140"/>
      <c r="AU280" s="28" t="str">
        <f t="shared" si="57"/>
        <v/>
      </c>
      <c r="AV280" s="140"/>
      <c r="AW280" s="28" t="str">
        <f t="shared" si="58"/>
        <v/>
      </c>
      <c r="AX280" s="111" t="str">
        <f t="shared" si="59"/>
        <v/>
      </c>
      <c r="AY280" s="111" t="str">
        <f t="shared" si="60"/>
        <v/>
      </c>
      <c r="AZ280" s="141"/>
      <c r="BA280" s="153" t="str">
        <f t="shared" si="61"/>
        <v>Débil</v>
      </c>
      <c r="BB280" s="22" t="str">
        <f>IFERROR(VLOOKUP((CONCATENATE(AY280,BA280)),Listados!$U$3:$V$11,2,FALSE),"")</f>
        <v/>
      </c>
      <c r="BC280" s="111">
        <f t="shared" si="62"/>
        <v>100</v>
      </c>
      <c r="BD280" s="717"/>
      <c r="BE280" s="761"/>
      <c r="BF280" s="717"/>
      <c r="BG280" s="717"/>
      <c r="BH280" s="713"/>
      <c r="BI280" s="715"/>
      <c r="BJ280" s="713"/>
      <c r="BK280" s="713"/>
      <c r="BL280" s="799"/>
      <c r="BM280" s="800"/>
      <c r="BN280" s="801"/>
      <c r="BO280" s="799"/>
      <c r="BP280" s="800"/>
      <c r="BQ280" s="801"/>
      <c r="BR280" s="799"/>
      <c r="BS280" s="800"/>
      <c r="BT280" s="801"/>
    </row>
    <row r="281" spans="1:72" ht="15" thickBot="1">
      <c r="A281" s="724"/>
      <c r="B281" s="777"/>
      <c r="C281" s="730"/>
      <c r="D281" s="736"/>
      <c r="E281" s="756"/>
      <c r="F281" s="770"/>
      <c r="G281" s="736"/>
      <c r="H281" s="764"/>
      <c r="I281" s="764"/>
      <c r="J281" s="764"/>
      <c r="K281" s="764"/>
      <c r="L281" s="764"/>
      <c r="M281" s="764"/>
      <c r="N281" s="764"/>
      <c r="O281" s="764"/>
      <c r="P281" s="764"/>
      <c r="Q281" s="764"/>
      <c r="R281" s="764"/>
      <c r="S281" s="764"/>
      <c r="T281" s="764"/>
      <c r="U281" s="764"/>
      <c r="V281" s="764"/>
      <c r="W281" s="764"/>
      <c r="X281" s="764"/>
      <c r="Y281" s="764"/>
      <c r="Z281" s="727"/>
      <c r="AA281" s="722"/>
      <c r="AB281" s="727"/>
      <c r="AC281" s="720"/>
      <c r="AD281" s="722" t="str">
        <f>+IF(OR(AB281=1,AB281&lt;=5),"Moderado",IF(OR(AB281=6,AB281&lt;=11),"Mayor","Catastrófico"))</f>
        <v>Moderado</v>
      </c>
      <c r="AE281" s="720"/>
      <c r="AF281" s="715"/>
      <c r="AG281" s="52" t="s">
        <v>467</v>
      </c>
      <c r="AH281" s="145"/>
      <c r="AI281" s="145"/>
      <c r="AJ281" s="145"/>
      <c r="AK281" s="28" t="str">
        <f t="shared" si="52"/>
        <v/>
      </c>
      <c r="AL281" s="145"/>
      <c r="AM281" s="28" t="str">
        <f t="shared" si="53"/>
        <v/>
      </c>
      <c r="AN281" s="140"/>
      <c r="AO281" s="28" t="str">
        <f t="shared" si="54"/>
        <v/>
      </c>
      <c r="AP281" s="140"/>
      <c r="AQ281" s="28" t="str">
        <f t="shared" si="55"/>
        <v/>
      </c>
      <c r="AR281" s="140"/>
      <c r="AS281" s="28" t="str">
        <f t="shared" si="56"/>
        <v/>
      </c>
      <c r="AT281" s="140"/>
      <c r="AU281" s="28" t="str">
        <f t="shared" si="57"/>
        <v/>
      </c>
      <c r="AV281" s="140"/>
      <c r="AW281" s="28" t="str">
        <f t="shared" si="58"/>
        <v/>
      </c>
      <c r="AX281" s="111" t="str">
        <f t="shared" si="59"/>
        <v/>
      </c>
      <c r="AY281" s="111" t="str">
        <f t="shared" si="60"/>
        <v/>
      </c>
      <c r="AZ281" s="141"/>
      <c r="BA281" s="153" t="str">
        <f t="shared" si="61"/>
        <v>Débil</v>
      </c>
      <c r="BB281" s="22" t="str">
        <f>IFERROR(VLOOKUP((CONCATENATE(AY281,BA281)),Listados!$U$3:$V$11,2,FALSE),"")</f>
        <v/>
      </c>
      <c r="BC281" s="111">
        <f t="shared" si="62"/>
        <v>100</v>
      </c>
      <c r="BD281" s="717"/>
      <c r="BE281" s="761"/>
      <c r="BF281" s="717"/>
      <c r="BG281" s="717"/>
      <c r="BH281" s="713"/>
      <c r="BI281" s="715"/>
      <c r="BJ281" s="713"/>
      <c r="BK281" s="713"/>
      <c r="BL281" s="799"/>
      <c r="BM281" s="800"/>
      <c r="BN281" s="801"/>
      <c r="BO281" s="799"/>
      <c r="BP281" s="800"/>
      <c r="BQ281" s="801"/>
      <c r="BR281" s="799"/>
      <c r="BS281" s="800"/>
      <c r="BT281" s="801"/>
    </row>
    <row r="282" spans="1:72" ht="15" thickBot="1">
      <c r="A282" s="725"/>
      <c r="B282" s="777"/>
      <c r="C282" s="731"/>
      <c r="D282" s="781"/>
      <c r="E282" s="757"/>
      <c r="F282" s="771"/>
      <c r="G282" s="736"/>
      <c r="H282" s="764"/>
      <c r="I282" s="764"/>
      <c r="J282" s="764"/>
      <c r="K282" s="764"/>
      <c r="L282" s="764"/>
      <c r="M282" s="764"/>
      <c r="N282" s="764"/>
      <c r="O282" s="764"/>
      <c r="P282" s="764"/>
      <c r="Q282" s="764"/>
      <c r="R282" s="764"/>
      <c r="S282" s="764"/>
      <c r="T282" s="764"/>
      <c r="U282" s="764"/>
      <c r="V282" s="764"/>
      <c r="W282" s="764"/>
      <c r="X282" s="764"/>
      <c r="Y282" s="764"/>
      <c r="Z282" s="727"/>
      <c r="AA282" s="722"/>
      <c r="AB282" s="727"/>
      <c r="AC282" s="721"/>
      <c r="AD282" s="722" t="str">
        <f>+IF(OR(AB282=1,AB282&lt;=5),"Moderado",IF(OR(AB282=6,AB282&lt;=11),"Mayor","Catastrófico"))</f>
        <v>Moderado</v>
      </c>
      <c r="AE282" s="721"/>
      <c r="AF282" s="715"/>
      <c r="AG282" s="52" t="s">
        <v>467</v>
      </c>
      <c r="AH282" s="145"/>
      <c r="AI282" s="145"/>
      <c r="AJ282" s="145"/>
      <c r="AK282" s="28" t="str">
        <f t="shared" si="52"/>
        <v/>
      </c>
      <c r="AL282" s="145"/>
      <c r="AM282" s="28" t="str">
        <f t="shared" si="53"/>
        <v/>
      </c>
      <c r="AN282" s="140"/>
      <c r="AO282" s="28" t="str">
        <f t="shared" si="54"/>
        <v/>
      </c>
      <c r="AP282" s="140"/>
      <c r="AQ282" s="28" t="str">
        <f t="shared" si="55"/>
        <v/>
      </c>
      <c r="AR282" s="140"/>
      <c r="AS282" s="28" t="str">
        <f t="shared" si="56"/>
        <v/>
      </c>
      <c r="AT282" s="140"/>
      <c r="AU282" s="28" t="str">
        <f t="shared" si="57"/>
        <v/>
      </c>
      <c r="AV282" s="140"/>
      <c r="AW282" s="28" t="str">
        <f t="shared" si="58"/>
        <v/>
      </c>
      <c r="AX282" s="111" t="str">
        <f t="shared" si="59"/>
        <v/>
      </c>
      <c r="AY282" s="111" t="str">
        <f t="shared" si="60"/>
        <v/>
      </c>
      <c r="AZ282" s="141"/>
      <c r="BA282" s="153" t="str">
        <f t="shared" si="61"/>
        <v>Débil</v>
      </c>
      <c r="BB282" s="22" t="str">
        <f>IFERROR(VLOOKUP((CONCATENATE(AY282,BA282)),Listados!$U$3:$V$11,2,FALSE),"")</f>
        <v/>
      </c>
      <c r="BC282" s="111">
        <f t="shared" si="62"/>
        <v>100</v>
      </c>
      <c r="BD282" s="718"/>
      <c r="BE282" s="761"/>
      <c r="BF282" s="718"/>
      <c r="BG282" s="718"/>
      <c r="BH282" s="714"/>
      <c r="BI282" s="715"/>
      <c r="BJ282" s="714"/>
      <c r="BK282" s="714"/>
      <c r="BL282" s="799"/>
      <c r="BM282" s="800"/>
      <c r="BN282" s="801"/>
      <c r="BO282" s="799"/>
      <c r="BP282" s="800"/>
      <c r="BQ282" s="801"/>
      <c r="BR282" s="799"/>
      <c r="BS282" s="800"/>
      <c r="BT282" s="801"/>
    </row>
    <row r="283" spans="1:72" ht="15" thickBot="1">
      <c r="A283" s="723">
        <v>47</v>
      </c>
      <c r="B283" s="776"/>
      <c r="C283" s="729" t="str">
        <f>IFERROR(VLOOKUP(B283,Listados!B$3:C$20,2,FALSE),"")</f>
        <v/>
      </c>
      <c r="D283" s="735" t="s">
        <v>584</v>
      </c>
      <c r="E283" s="105"/>
      <c r="F283" s="18"/>
      <c r="G283" s="735"/>
      <c r="H283" s="763"/>
      <c r="I283" s="763"/>
      <c r="J283" s="763"/>
      <c r="K283" s="763"/>
      <c r="L283" s="763"/>
      <c r="M283" s="763"/>
      <c r="N283" s="763"/>
      <c r="O283" s="763"/>
      <c r="P283" s="763"/>
      <c r="Q283" s="763"/>
      <c r="R283" s="763"/>
      <c r="S283" s="763"/>
      <c r="T283" s="763"/>
      <c r="U283" s="763"/>
      <c r="V283" s="763"/>
      <c r="W283" s="763"/>
      <c r="X283" s="763"/>
      <c r="Y283" s="763"/>
      <c r="Z283" s="762"/>
      <c r="AA283" s="721">
        <f>COUNTIF(H283:Z288, "SI")</f>
        <v>0</v>
      </c>
      <c r="AB283" s="762"/>
      <c r="AC283" s="719" t="e">
        <f>+VLOOKUP(AB283,Listados!$K$8:$L$12,2,0)</f>
        <v>#N/A</v>
      </c>
      <c r="AD283" s="721" t="str">
        <f>+IF(OR(AA283=1,AA283&lt;=5),"Moderado",IF(OR(AA283=6,AA283&lt;=11),"Mayor","Catastrófico"))</f>
        <v>Moderado</v>
      </c>
      <c r="AE283" s="719" t="e">
        <f>+VLOOKUP(AD283,Listados!K289:L293,2,0)</f>
        <v>#N/A</v>
      </c>
      <c r="AF283" s="714" t="str">
        <f>IF(AND(AB283&lt;&gt;"",AD283&lt;&gt;""),VLOOKUP(AB283&amp;AD283,Listados!$M$3:$N$27,2,FALSE),"")</f>
        <v/>
      </c>
      <c r="AG283" s="52" t="s">
        <v>467</v>
      </c>
      <c r="AH283" s="145"/>
      <c r="AI283" s="145"/>
      <c r="AJ283" s="145"/>
      <c r="AK283" s="28" t="str">
        <f t="shared" si="52"/>
        <v/>
      </c>
      <c r="AL283" s="145"/>
      <c r="AM283" s="28" t="str">
        <f t="shared" si="53"/>
        <v/>
      </c>
      <c r="AN283" s="140"/>
      <c r="AO283" s="28" t="str">
        <f t="shared" si="54"/>
        <v/>
      </c>
      <c r="AP283" s="140"/>
      <c r="AQ283" s="28" t="str">
        <f t="shared" si="55"/>
        <v/>
      </c>
      <c r="AR283" s="140"/>
      <c r="AS283" s="28" t="str">
        <f t="shared" si="56"/>
        <v/>
      </c>
      <c r="AT283" s="140"/>
      <c r="AU283" s="28" t="str">
        <f t="shared" si="57"/>
        <v/>
      </c>
      <c r="AV283" s="140"/>
      <c r="AW283" s="28" t="str">
        <f t="shared" si="58"/>
        <v/>
      </c>
      <c r="AX283" s="111" t="str">
        <f t="shared" si="59"/>
        <v/>
      </c>
      <c r="AY283" s="111" t="str">
        <f t="shared" si="60"/>
        <v/>
      </c>
      <c r="AZ283" s="141"/>
      <c r="BA283" s="153" t="str">
        <f t="shared" si="61"/>
        <v>Débil</v>
      </c>
      <c r="BB283" s="22" t="str">
        <f>IFERROR(VLOOKUP((CONCATENATE(AY283,BA283)),Listados!$U$3:$V$11,2,FALSE),"")</f>
        <v/>
      </c>
      <c r="BC283" s="111">
        <f t="shared" si="62"/>
        <v>100</v>
      </c>
      <c r="BD283" s="716">
        <f>AVERAGE(BC283:BC288)</f>
        <v>100</v>
      </c>
      <c r="BE283" s="718" t="str">
        <f>IF(BD283&lt;=50, "Débil", IF(BD283&lt;=99,"Moderado","Fuerte"))</f>
        <v>Fuerte</v>
      </c>
      <c r="BF283" s="716">
        <f>+IF(BE283="Fuerte",2,IF(BE283="Moderado",1,0))</f>
        <v>2</v>
      </c>
      <c r="BG283" s="716" t="e">
        <f>+AC283-BF283</f>
        <v>#N/A</v>
      </c>
      <c r="BH283" s="712" t="e">
        <f>+VLOOKUP(BG283,Listados!$J$18:$K$24,2,TRUE)</f>
        <v>#N/A</v>
      </c>
      <c r="BI283" s="714" t="str">
        <f>IF(ISBLANK(AD283),"",AD283)</f>
        <v>Moderado</v>
      </c>
      <c r="BJ283" s="712" t="e">
        <f>IF(AND(BH283&lt;&gt;"",BI283&lt;&gt;""),VLOOKUP(BH283&amp;BI283,Listados!$M$3:$N$27,2,FALSE),"")</f>
        <v>#N/A</v>
      </c>
      <c r="BK283" s="712" t="e">
        <f>+VLOOKUP(BJ283,Listados!$P$3:$Q$6,2,FALSE)</f>
        <v>#N/A</v>
      </c>
      <c r="BL283" s="799"/>
      <c r="BM283" s="800"/>
      <c r="BN283" s="801"/>
      <c r="BO283" s="799"/>
      <c r="BP283" s="800"/>
      <c r="BQ283" s="801"/>
      <c r="BR283" s="799"/>
      <c r="BS283" s="800"/>
      <c r="BT283" s="801"/>
    </row>
    <row r="284" spans="1:72" ht="15" thickBot="1">
      <c r="A284" s="724"/>
      <c r="B284" s="777"/>
      <c r="C284" s="730"/>
      <c r="D284" s="736"/>
      <c r="E284" s="161"/>
      <c r="F284" s="150"/>
      <c r="G284" s="736"/>
      <c r="H284" s="764"/>
      <c r="I284" s="764"/>
      <c r="J284" s="764"/>
      <c r="K284" s="764"/>
      <c r="L284" s="764"/>
      <c r="M284" s="764"/>
      <c r="N284" s="764"/>
      <c r="O284" s="764"/>
      <c r="P284" s="764"/>
      <c r="Q284" s="764"/>
      <c r="R284" s="764"/>
      <c r="S284" s="764"/>
      <c r="T284" s="764"/>
      <c r="U284" s="764"/>
      <c r="V284" s="764"/>
      <c r="W284" s="764"/>
      <c r="X284" s="764"/>
      <c r="Y284" s="764"/>
      <c r="Z284" s="727"/>
      <c r="AA284" s="722"/>
      <c r="AB284" s="727"/>
      <c r="AC284" s="720"/>
      <c r="AD284" s="722" t="str">
        <f>+IF(OR(AB284=1,AB284&lt;=5),"Moderado",IF(OR(AB284=6,AB284&lt;=11),"Mayor","Catastrófico"))</f>
        <v>Moderado</v>
      </c>
      <c r="AE284" s="720"/>
      <c r="AF284" s="715"/>
      <c r="AG284" s="52" t="s">
        <v>467</v>
      </c>
      <c r="AH284" s="145"/>
      <c r="AI284" s="145"/>
      <c r="AJ284" s="145"/>
      <c r="AK284" s="28" t="str">
        <f t="shared" si="52"/>
        <v/>
      </c>
      <c r="AL284" s="145"/>
      <c r="AM284" s="28" t="str">
        <f t="shared" si="53"/>
        <v/>
      </c>
      <c r="AN284" s="140"/>
      <c r="AO284" s="28" t="str">
        <f t="shared" si="54"/>
        <v/>
      </c>
      <c r="AP284" s="140"/>
      <c r="AQ284" s="28" t="str">
        <f t="shared" si="55"/>
        <v/>
      </c>
      <c r="AR284" s="140"/>
      <c r="AS284" s="28" t="str">
        <f t="shared" si="56"/>
        <v/>
      </c>
      <c r="AT284" s="140"/>
      <c r="AU284" s="28" t="str">
        <f t="shared" si="57"/>
        <v/>
      </c>
      <c r="AV284" s="140"/>
      <c r="AW284" s="28" t="str">
        <f t="shared" si="58"/>
        <v/>
      </c>
      <c r="AX284" s="111" t="str">
        <f t="shared" si="59"/>
        <v/>
      </c>
      <c r="AY284" s="111" t="str">
        <f t="shared" si="60"/>
        <v/>
      </c>
      <c r="AZ284" s="141"/>
      <c r="BA284" s="153" t="str">
        <f t="shared" si="61"/>
        <v>Débil</v>
      </c>
      <c r="BB284" s="22" t="str">
        <f>IFERROR(VLOOKUP((CONCATENATE(AY284,BA284)),Listados!$U$3:$V$11,2,FALSE),"")</f>
        <v/>
      </c>
      <c r="BC284" s="111">
        <f t="shared" si="62"/>
        <v>100</v>
      </c>
      <c r="BD284" s="717"/>
      <c r="BE284" s="761"/>
      <c r="BF284" s="717"/>
      <c r="BG284" s="717"/>
      <c r="BH284" s="713"/>
      <c r="BI284" s="715"/>
      <c r="BJ284" s="713"/>
      <c r="BK284" s="713"/>
      <c r="BL284" s="799"/>
      <c r="BM284" s="800"/>
      <c r="BN284" s="801"/>
      <c r="BO284" s="799"/>
      <c r="BP284" s="800"/>
      <c r="BQ284" s="801"/>
      <c r="BR284" s="799"/>
      <c r="BS284" s="800"/>
      <c r="BT284" s="801"/>
    </row>
    <row r="285" spans="1:72" ht="15" thickBot="1">
      <c r="A285" s="724"/>
      <c r="B285" s="777"/>
      <c r="C285" s="730"/>
      <c r="D285" s="736"/>
      <c r="E285" s="161"/>
      <c r="F285" s="150"/>
      <c r="G285" s="736"/>
      <c r="H285" s="764"/>
      <c r="I285" s="764"/>
      <c r="J285" s="764"/>
      <c r="K285" s="764"/>
      <c r="L285" s="764"/>
      <c r="M285" s="764"/>
      <c r="N285" s="764"/>
      <c r="O285" s="764"/>
      <c r="P285" s="764"/>
      <c r="Q285" s="764"/>
      <c r="R285" s="764"/>
      <c r="S285" s="764"/>
      <c r="T285" s="764"/>
      <c r="U285" s="764"/>
      <c r="V285" s="764"/>
      <c r="W285" s="764"/>
      <c r="X285" s="764"/>
      <c r="Y285" s="764"/>
      <c r="Z285" s="727"/>
      <c r="AA285" s="722"/>
      <c r="AB285" s="727"/>
      <c r="AC285" s="720"/>
      <c r="AD285" s="722" t="str">
        <f>+IF(OR(AB285=1,AB285&lt;=5),"Moderado",IF(OR(AB285=6,AB285&lt;=11),"Mayor","Catastrófico"))</f>
        <v>Moderado</v>
      </c>
      <c r="AE285" s="720"/>
      <c r="AF285" s="715"/>
      <c r="AG285" s="52" t="s">
        <v>467</v>
      </c>
      <c r="AH285" s="145"/>
      <c r="AI285" s="145"/>
      <c r="AJ285" s="145"/>
      <c r="AK285" s="28" t="str">
        <f t="shared" si="52"/>
        <v/>
      </c>
      <c r="AL285" s="145"/>
      <c r="AM285" s="28" t="str">
        <f t="shared" si="53"/>
        <v/>
      </c>
      <c r="AN285" s="140"/>
      <c r="AO285" s="28" t="str">
        <f t="shared" si="54"/>
        <v/>
      </c>
      <c r="AP285" s="140"/>
      <c r="AQ285" s="28" t="str">
        <f t="shared" si="55"/>
        <v/>
      </c>
      <c r="AR285" s="140"/>
      <c r="AS285" s="28" t="str">
        <f t="shared" si="56"/>
        <v/>
      </c>
      <c r="AT285" s="140"/>
      <c r="AU285" s="28" t="str">
        <f t="shared" si="57"/>
        <v/>
      </c>
      <c r="AV285" s="140"/>
      <c r="AW285" s="28" t="str">
        <f t="shared" si="58"/>
        <v/>
      </c>
      <c r="AX285" s="111" t="str">
        <f t="shared" si="59"/>
        <v/>
      </c>
      <c r="AY285" s="111" t="str">
        <f t="shared" si="60"/>
        <v/>
      </c>
      <c r="AZ285" s="141"/>
      <c r="BA285" s="153" t="str">
        <f t="shared" si="61"/>
        <v>Débil</v>
      </c>
      <c r="BB285" s="22" t="str">
        <f>IFERROR(VLOOKUP((CONCATENATE(AY285,BA285)),Listados!$U$3:$V$11,2,FALSE),"")</f>
        <v/>
      </c>
      <c r="BC285" s="111">
        <f t="shared" si="62"/>
        <v>100</v>
      </c>
      <c r="BD285" s="717"/>
      <c r="BE285" s="761"/>
      <c r="BF285" s="717"/>
      <c r="BG285" s="717"/>
      <c r="BH285" s="713"/>
      <c r="BI285" s="715"/>
      <c r="BJ285" s="713"/>
      <c r="BK285" s="713"/>
      <c r="BL285" s="799"/>
      <c r="BM285" s="800"/>
      <c r="BN285" s="801"/>
      <c r="BO285" s="799"/>
      <c r="BP285" s="800"/>
      <c r="BQ285" s="801"/>
      <c r="BR285" s="799"/>
      <c r="BS285" s="800"/>
      <c r="BT285" s="801"/>
    </row>
    <row r="286" spans="1:72" ht="15" thickBot="1">
      <c r="A286" s="724"/>
      <c r="B286" s="777"/>
      <c r="C286" s="730"/>
      <c r="D286" s="736"/>
      <c r="E286" s="755"/>
      <c r="F286" s="769"/>
      <c r="G286" s="736"/>
      <c r="H286" s="764"/>
      <c r="I286" s="764"/>
      <c r="J286" s="764"/>
      <c r="K286" s="764"/>
      <c r="L286" s="764"/>
      <c r="M286" s="764"/>
      <c r="N286" s="764"/>
      <c r="O286" s="764"/>
      <c r="P286" s="764"/>
      <c r="Q286" s="764"/>
      <c r="R286" s="764"/>
      <c r="S286" s="764"/>
      <c r="T286" s="764"/>
      <c r="U286" s="764"/>
      <c r="V286" s="764"/>
      <c r="W286" s="764"/>
      <c r="X286" s="764"/>
      <c r="Y286" s="764"/>
      <c r="Z286" s="727"/>
      <c r="AA286" s="722"/>
      <c r="AB286" s="727"/>
      <c r="AC286" s="720"/>
      <c r="AD286" s="722" t="str">
        <f>+IF(OR(AB286=1,AB286&lt;=5),"Moderado",IF(OR(AB286=6,AB286&lt;=11),"Mayor","Catastrófico"))</f>
        <v>Moderado</v>
      </c>
      <c r="AE286" s="720"/>
      <c r="AF286" s="715"/>
      <c r="AG286" s="52" t="s">
        <v>467</v>
      </c>
      <c r="AH286" s="145"/>
      <c r="AI286" s="145"/>
      <c r="AJ286" s="145"/>
      <c r="AK286" s="28" t="str">
        <f t="shared" si="52"/>
        <v/>
      </c>
      <c r="AL286" s="145"/>
      <c r="AM286" s="28" t="str">
        <f t="shared" si="53"/>
        <v/>
      </c>
      <c r="AN286" s="140"/>
      <c r="AO286" s="28" t="str">
        <f t="shared" si="54"/>
        <v/>
      </c>
      <c r="AP286" s="140"/>
      <c r="AQ286" s="28" t="str">
        <f t="shared" si="55"/>
        <v/>
      </c>
      <c r="AR286" s="140"/>
      <c r="AS286" s="28" t="str">
        <f t="shared" si="56"/>
        <v/>
      </c>
      <c r="AT286" s="140"/>
      <c r="AU286" s="28" t="str">
        <f t="shared" si="57"/>
        <v/>
      </c>
      <c r="AV286" s="140"/>
      <c r="AW286" s="28" t="str">
        <f t="shared" si="58"/>
        <v/>
      </c>
      <c r="AX286" s="111" t="str">
        <f t="shared" si="59"/>
        <v/>
      </c>
      <c r="AY286" s="111" t="str">
        <f t="shared" si="60"/>
        <v/>
      </c>
      <c r="AZ286" s="141"/>
      <c r="BA286" s="153" t="str">
        <f t="shared" si="61"/>
        <v>Débil</v>
      </c>
      <c r="BB286" s="22" t="str">
        <f>IFERROR(VLOOKUP((CONCATENATE(AY286,BA286)),Listados!$U$3:$V$11,2,FALSE),"")</f>
        <v/>
      </c>
      <c r="BC286" s="111">
        <f t="shared" si="62"/>
        <v>100</v>
      </c>
      <c r="BD286" s="717"/>
      <c r="BE286" s="761"/>
      <c r="BF286" s="717"/>
      <c r="BG286" s="717"/>
      <c r="BH286" s="713"/>
      <c r="BI286" s="715"/>
      <c r="BJ286" s="713"/>
      <c r="BK286" s="713"/>
      <c r="BL286" s="799"/>
      <c r="BM286" s="800"/>
      <c r="BN286" s="801"/>
      <c r="BO286" s="799"/>
      <c r="BP286" s="800"/>
      <c r="BQ286" s="801"/>
      <c r="BR286" s="799"/>
      <c r="BS286" s="800"/>
      <c r="BT286" s="801"/>
    </row>
    <row r="287" spans="1:72" ht="15" thickBot="1">
      <c r="A287" s="724"/>
      <c r="B287" s="777"/>
      <c r="C287" s="730"/>
      <c r="D287" s="736"/>
      <c r="E287" s="756"/>
      <c r="F287" s="770"/>
      <c r="G287" s="736"/>
      <c r="H287" s="764"/>
      <c r="I287" s="764"/>
      <c r="J287" s="764"/>
      <c r="K287" s="764"/>
      <c r="L287" s="764"/>
      <c r="M287" s="764"/>
      <c r="N287" s="764"/>
      <c r="O287" s="764"/>
      <c r="P287" s="764"/>
      <c r="Q287" s="764"/>
      <c r="R287" s="764"/>
      <c r="S287" s="764"/>
      <c r="T287" s="764"/>
      <c r="U287" s="764"/>
      <c r="V287" s="764"/>
      <c r="W287" s="764"/>
      <c r="X287" s="764"/>
      <c r="Y287" s="764"/>
      <c r="Z287" s="727"/>
      <c r="AA287" s="722"/>
      <c r="AB287" s="727"/>
      <c r="AC287" s="720"/>
      <c r="AD287" s="722" t="str">
        <f>+IF(OR(AB287=1,AB287&lt;=5),"Moderado",IF(OR(AB287=6,AB287&lt;=11),"Mayor","Catastrófico"))</f>
        <v>Moderado</v>
      </c>
      <c r="AE287" s="720"/>
      <c r="AF287" s="715"/>
      <c r="AG287" s="52" t="s">
        <v>467</v>
      </c>
      <c r="AH287" s="145"/>
      <c r="AI287" s="145"/>
      <c r="AJ287" s="145"/>
      <c r="AK287" s="28" t="str">
        <f t="shared" si="52"/>
        <v/>
      </c>
      <c r="AL287" s="145"/>
      <c r="AM287" s="28" t="str">
        <f t="shared" si="53"/>
        <v/>
      </c>
      <c r="AN287" s="140"/>
      <c r="AO287" s="28" t="str">
        <f t="shared" si="54"/>
        <v/>
      </c>
      <c r="AP287" s="140"/>
      <c r="AQ287" s="28" t="str">
        <f t="shared" si="55"/>
        <v/>
      </c>
      <c r="AR287" s="140"/>
      <c r="AS287" s="28" t="str">
        <f t="shared" si="56"/>
        <v/>
      </c>
      <c r="AT287" s="140"/>
      <c r="AU287" s="28" t="str">
        <f t="shared" si="57"/>
        <v/>
      </c>
      <c r="AV287" s="140"/>
      <c r="AW287" s="28" t="str">
        <f t="shared" si="58"/>
        <v/>
      </c>
      <c r="AX287" s="111" t="str">
        <f t="shared" si="59"/>
        <v/>
      </c>
      <c r="AY287" s="111" t="str">
        <f t="shared" si="60"/>
        <v/>
      </c>
      <c r="AZ287" s="141"/>
      <c r="BA287" s="153" t="str">
        <f t="shared" si="61"/>
        <v>Débil</v>
      </c>
      <c r="BB287" s="22" t="str">
        <f>IFERROR(VLOOKUP((CONCATENATE(AY287,BA287)),Listados!$U$3:$V$11,2,FALSE),"")</f>
        <v/>
      </c>
      <c r="BC287" s="111">
        <f t="shared" si="62"/>
        <v>100</v>
      </c>
      <c r="BD287" s="717"/>
      <c r="BE287" s="761"/>
      <c r="BF287" s="717"/>
      <c r="BG287" s="717"/>
      <c r="BH287" s="713"/>
      <c r="BI287" s="715"/>
      <c r="BJ287" s="713"/>
      <c r="BK287" s="713"/>
      <c r="BL287" s="799"/>
      <c r="BM287" s="800"/>
      <c r="BN287" s="801"/>
      <c r="BO287" s="799"/>
      <c r="BP287" s="800"/>
      <c r="BQ287" s="801"/>
      <c r="BR287" s="799"/>
      <c r="BS287" s="800"/>
      <c r="BT287" s="801"/>
    </row>
    <row r="288" spans="1:72" ht="15" thickBot="1">
      <c r="A288" s="725"/>
      <c r="B288" s="777"/>
      <c r="C288" s="731"/>
      <c r="D288" s="781"/>
      <c r="E288" s="757"/>
      <c r="F288" s="771"/>
      <c r="G288" s="736"/>
      <c r="H288" s="764"/>
      <c r="I288" s="764"/>
      <c r="J288" s="764"/>
      <c r="K288" s="764"/>
      <c r="L288" s="764"/>
      <c r="M288" s="764"/>
      <c r="N288" s="764"/>
      <c r="O288" s="764"/>
      <c r="P288" s="764"/>
      <c r="Q288" s="764"/>
      <c r="R288" s="764"/>
      <c r="S288" s="764"/>
      <c r="T288" s="764"/>
      <c r="U288" s="764"/>
      <c r="V288" s="764"/>
      <c r="W288" s="764"/>
      <c r="X288" s="764"/>
      <c r="Y288" s="764"/>
      <c r="Z288" s="727"/>
      <c r="AA288" s="722"/>
      <c r="AB288" s="727"/>
      <c r="AC288" s="721"/>
      <c r="AD288" s="722" t="str">
        <f>+IF(OR(AB288=1,AB288&lt;=5),"Moderado",IF(OR(AB288=6,AB288&lt;=11),"Mayor","Catastrófico"))</f>
        <v>Moderado</v>
      </c>
      <c r="AE288" s="721"/>
      <c r="AF288" s="715"/>
      <c r="AG288" s="52" t="s">
        <v>467</v>
      </c>
      <c r="AH288" s="145"/>
      <c r="AI288" s="145"/>
      <c r="AJ288" s="145"/>
      <c r="AK288" s="28" t="str">
        <f t="shared" si="52"/>
        <v/>
      </c>
      <c r="AL288" s="145"/>
      <c r="AM288" s="28" t="str">
        <f t="shared" si="53"/>
        <v/>
      </c>
      <c r="AN288" s="140"/>
      <c r="AO288" s="28" t="str">
        <f t="shared" si="54"/>
        <v/>
      </c>
      <c r="AP288" s="140"/>
      <c r="AQ288" s="28" t="str">
        <f t="shared" si="55"/>
        <v/>
      </c>
      <c r="AR288" s="140"/>
      <c r="AS288" s="28" t="str">
        <f t="shared" si="56"/>
        <v/>
      </c>
      <c r="AT288" s="140"/>
      <c r="AU288" s="28" t="str">
        <f t="shared" si="57"/>
        <v/>
      </c>
      <c r="AV288" s="140"/>
      <c r="AW288" s="28" t="str">
        <f t="shared" si="58"/>
        <v/>
      </c>
      <c r="AX288" s="111" t="str">
        <f t="shared" si="59"/>
        <v/>
      </c>
      <c r="AY288" s="111" t="str">
        <f t="shared" si="60"/>
        <v/>
      </c>
      <c r="AZ288" s="141"/>
      <c r="BA288" s="153" t="str">
        <f t="shared" si="61"/>
        <v>Débil</v>
      </c>
      <c r="BB288" s="22" t="str">
        <f>IFERROR(VLOOKUP((CONCATENATE(AY288,BA288)),Listados!$U$3:$V$11,2,FALSE),"")</f>
        <v/>
      </c>
      <c r="BC288" s="111">
        <f t="shared" si="62"/>
        <v>100</v>
      </c>
      <c r="BD288" s="718"/>
      <c r="BE288" s="761"/>
      <c r="BF288" s="718"/>
      <c r="BG288" s="718"/>
      <c r="BH288" s="714"/>
      <c r="BI288" s="715"/>
      <c r="BJ288" s="714"/>
      <c r="BK288" s="714"/>
      <c r="BL288" s="799"/>
      <c r="BM288" s="800"/>
      <c r="BN288" s="801"/>
      <c r="BO288" s="799"/>
      <c r="BP288" s="800"/>
      <c r="BQ288" s="801"/>
      <c r="BR288" s="799"/>
      <c r="BS288" s="800"/>
      <c r="BT288" s="801"/>
    </row>
    <row r="289" spans="1:72" ht="15" thickBot="1">
      <c r="A289" s="723">
        <v>48</v>
      </c>
      <c r="B289" s="776"/>
      <c r="C289" s="729" t="str">
        <f>IFERROR(VLOOKUP(B289,Listados!B$3:C$20,2,FALSE),"")</f>
        <v/>
      </c>
      <c r="D289" s="735" t="s">
        <v>584</v>
      </c>
      <c r="E289" s="105"/>
      <c r="F289" s="18"/>
      <c r="G289" s="735"/>
      <c r="H289" s="763"/>
      <c r="I289" s="763"/>
      <c r="J289" s="763"/>
      <c r="K289" s="763"/>
      <c r="L289" s="763"/>
      <c r="M289" s="763"/>
      <c r="N289" s="763"/>
      <c r="O289" s="763"/>
      <c r="P289" s="763"/>
      <c r="Q289" s="763"/>
      <c r="R289" s="763"/>
      <c r="S289" s="763"/>
      <c r="T289" s="763"/>
      <c r="U289" s="763"/>
      <c r="V289" s="763"/>
      <c r="W289" s="763"/>
      <c r="X289" s="763"/>
      <c r="Y289" s="763"/>
      <c r="Z289" s="762"/>
      <c r="AA289" s="721">
        <f>COUNTIF(H289:Z294, "SI")</f>
        <v>0</v>
      </c>
      <c r="AB289" s="762"/>
      <c r="AC289" s="719" t="e">
        <f>+VLOOKUP(AB289,Listados!$K$8:$L$12,2,0)</f>
        <v>#N/A</v>
      </c>
      <c r="AD289" s="721" t="str">
        <f>+IF(OR(AA289=1,AA289&lt;=5),"Moderado",IF(OR(AA289=6,AA289&lt;=11),"Mayor","Catastrófico"))</f>
        <v>Moderado</v>
      </c>
      <c r="AE289" s="719" t="e">
        <f>+VLOOKUP(AD289,Listados!K295:L299,2,0)</f>
        <v>#N/A</v>
      </c>
      <c r="AF289" s="714" t="str">
        <f>IF(AND(AB289&lt;&gt;"",AD289&lt;&gt;""),VLOOKUP(AB289&amp;AD289,Listados!$M$3:$N$27,2,FALSE),"")</f>
        <v/>
      </c>
      <c r="AG289" s="52" t="s">
        <v>467</v>
      </c>
      <c r="AH289" s="145"/>
      <c r="AI289" s="145"/>
      <c r="AJ289" s="145"/>
      <c r="AK289" s="28" t="str">
        <f t="shared" si="52"/>
        <v/>
      </c>
      <c r="AL289" s="145"/>
      <c r="AM289" s="28" t="str">
        <f t="shared" si="53"/>
        <v/>
      </c>
      <c r="AN289" s="140"/>
      <c r="AO289" s="28" t="str">
        <f t="shared" si="54"/>
        <v/>
      </c>
      <c r="AP289" s="140"/>
      <c r="AQ289" s="28" t="str">
        <f t="shared" si="55"/>
        <v/>
      </c>
      <c r="AR289" s="140"/>
      <c r="AS289" s="28" t="str">
        <f t="shared" si="56"/>
        <v/>
      </c>
      <c r="AT289" s="140"/>
      <c r="AU289" s="28" t="str">
        <f t="shared" si="57"/>
        <v/>
      </c>
      <c r="AV289" s="140"/>
      <c r="AW289" s="28" t="str">
        <f t="shared" si="58"/>
        <v/>
      </c>
      <c r="AX289" s="111" t="str">
        <f t="shared" si="59"/>
        <v/>
      </c>
      <c r="AY289" s="111" t="str">
        <f t="shared" si="60"/>
        <v/>
      </c>
      <c r="AZ289" s="141"/>
      <c r="BA289" s="153" t="str">
        <f t="shared" si="61"/>
        <v>Débil</v>
      </c>
      <c r="BB289" s="22" t="str">
        <f>IFERROR(VLOOKUP((CONCATENATE(AY289,BA289)),Listados!$U$3:$V$11,2,FALSE),"")</f>
        <v/>
      </c>
      <c r="BC289" s="111">
        <f t="shared" si="62"/>
        <v>100</v>
      </c>
      <c r="BD289" s="716">
        <f>AVERAGE(BC289:BC294)</f>
        <v>100</v>
      </c>
      <c r="BE289" s="718" t="str">
        <f>IF(BD289&lt;=50, "Débil", IF(BD289&lt;=99,"Moderado","Fuerte"))</f>
        <v>Fuerte</v>
      </c>
      <c r="BF289" s="716">
        <f>+IF(BE289="Fuerte",2,IF(BE289="Moderado",1,0))</f>
        <v>2</v>
      </c>
      <c r="BG289" s="716" t="e">
        <f>+AC289-BF289</f>
        <v>#N/A</v>
      </c>
      <c r="BH289" s="712" t="e">
        <f>+VLOOKUP(BG289,Listados!$J$18:$K$24,2,TRUE)</f>
        <v>#N/A</v>
      </c>
      <c r="BI289" s="714" t="str">
        <f>IF(ISBLANK(AD289),"",AD289)</f>
        <v>Moderado</v>
      </c>
      <c r="BJ289" s="712" t="e">
        <f>IF(AND(BH289&lt;&gt;"",BI289&lt;&gt;""),VLOOKUP(BH289&amp;BI289,Listados!$M$3:$N$27,2,FALSE),"")</f>
        <v>#N/A</v>
      </c>
      <c r="BK289" s="712" t="e">
        <f>+VLOOKUP(BJ289,Listados!$P$3:$Q$6,2,FALSE)</f>
        <v>#N/A</v>
      </c>
      <c r="BL289" s="799"/>
      <c r="BM289" s="800"/>
      <c r="BN289" s="801"/>
      <c r="BO289" s="799"/>
      <c r="BP289" s="800"/>
      <c r="BQ289" s="801"/>
      <c r="BR289" s="799"/>
      <c r="BS289" s="800"/>
      <c r="BT289" s="801"/>
    </row>
    <row r="290" spans="1:72" ht="15" thickBot="1">
      <c r="A290" s="724"/>
      <c r="B290" s="777"/>
      <c r="C290" s="730"/>
      <c r="D290" s="736"/>
      <c r="E290" s="161"/>
      <c r="F290" s="150"/>
      <c r="G290" s="736"/>
      <c r="H290" s="764"/>
      <c r="I290" s="764"/>
      <c r="J290" s="764"/>
      <c r="K290" s="764"/>
      <c r="L290" s="764"/>
      <c r="M290" s="764"/>
      <c r="N290" s="764"/>
      <c r="O290" s="764"/>
      <c r="P290" s="764"/>
      <c r="Q290" s="764"/>
      <c r="R290" s="764"/>
      <c r="S290" s="764"/>
      <c r="T290" s="764"/>
      <c r="U290" s="764"/>
      <c r="V290" s="764"/>
      <c r="W290" s="764"/>
      <c r="X290" s="764"/>
      <c r="Y290" s="764"/>
      <c r="Z290" s="727"/>
      <c r="AA290" s="722"/>
      <c r="AB290" s="727"/>
      <c r="AC290" s="720"/>
      <c r="AD290" s="722" t="str">
        <f>+IF(OR(AB290=1,AB290&lt;=5),"Moderado",IF(OR(AB290=6,AB290&lt;=11),"Mayor","Catastrófico"))</f>
        <v>Moderado</v>
      </c>
      <c r="AE290" s="720"/>
      <c r="AF290" s="715"/>
      <c r="AG290" s="52" t="s">
        <v>467</v>
      </c>
      <c r="AH290" s="145"/>
      <c r="AI290" s="145"/>
      <c r="AJ290" s="145"/>
      <c r="AK290" s="28" t="str">
        <f t="shared" si="52"/>
        <v/>
      </c>
      <c r="AL290" s="145"/>
      <c r="AM290" s="28" t="str">
        <f t="shared" si="53"/>
        <v/>
      </c>
      <c r="AN290" s="140"/>
      <c r="AO290" s="28" t="str">
        <f t="shared" si="54"/>
        <v/>
      </c>
      <c r="AP290" s="140"/>
      <c r="AQ290" s="28" t="str">
        <f t="shared" si="55"/>
        <v/>
      </c>
      <c r="AR290" s="140"/>
      <c r="AS290" s="28" t="str">
        <f t="shared" si="56"/>
        <v/>
      </c>
      <c r="AT290" s="140"/>
      <c r="AU290" s="28" t="str">
        <f t="shared" si="57"/>
        <v/>
      </c>
      <c r="AV290" s="140"/>
      <c r="AW290" s="28" t="str">
        <f t="shared" si="58"/>
        <v/>
      </c>
      <c r="AX290" s="111" t="str">
        <f t="shared" si="59"/>
        <v/>
      </c>
      <c r="AY290" s="111" t="str">
        <f t="shared" si="60"/>
        <v/>
      </c>
      <c r="AZ290" s="141"/>
      <c r="BA290" s="153" t="str">
        <f t="shared" si="61"/>
        <v>Débil</v>
      </c>
      <c r="BB290" s="22" t="str">
        <f>IFERROR(VLOOKUP((CONCATENATE(AY290,BA290)),Listados!$U$3:$V$11,2,FALSE),"")</f>
        <v/>
      </c>
      <c r="BC290" s="111">
        <f t="shared" si="62"/>
        <v>100</v>
      </c>
      <c r="BD290" s="717"/>
      <c r="BE290" s="761"/>
      <c r="BF290" s="717"/>
      <c r="BG290" s="717"/>
      <c r="BH290" s="713"/>
      <c r="BI290" s="715"/>
      <c r="BJ290" s="713"/>
      <c r="BK290" s="713"/>
      <c r="BL290" s="799"/>
      <c r="BM290" s="800"/>
      <c r="BN290" s="801"/>
      <c r="BO290" s="799"/>
      <c r="BP290" s="800"/>
      <c r="BQ290" s="801"/>
      <c r="BR290" s="799"/>
      <c r="BS290" s="800"/>
      <c r="BT290" s="801"/>
    </row>
    <row r="291" spans="1:72" ht="15" thickBot="1">
      <c r="A291" s="724"/>
      <c r="B291" s="777"/>
      <c r="C291" s="730"/>
      <c r="D291" s="736"/>
      <c r="E291" s="161"/>
      <c r="F291" s="150"/>
      <c r="G291" s="736"/>
      <c r="H291" s="764"/>
      <c r="I291" s="764"/>
      <c r="J291" s="764"/>
      <c r="K291" s="764"/>
      <c r="L291" s="764"/>
      <c r="M291" s="764"/>
      <c r="N291" s="764"/>
      <c r="O291" s="764"/>
      <c r="P291" s="764"/>
      <c r="Q291" s="764"/>
      <c r="R291" s="764"/>
      <c r="S291" s="764"/>
      <c r="T291" s="764"/>
      <c r="U291" s="764"/>
      <c r="V291" s="764"/>
      <c r="W291" s="764"/>
      <c r="X291" s="764"/>
      <c r="Y291" s="764"/>
      <c r="Z291" s="727"/>
      <c r="AA291" s="722"/>
      <c r="AB291" s="727"/>
      <c r="AC291" s="720"/>
      <c r="AD291" s="722" t="str">
        <f>+IF(OR(AB291=1,AB291&lt;=5),"Moderado",IF(OR(AB291=6,AB291&lt;=11),"Mayor","Catastrófico"))</f>
        <v>Moderado</v>
      </c>
      <c r="AE291" s="720"/>
      <c r="AF291" s="715"/>
      <c r="AG291" s="52" t="s">
        <v>467</v>
      </c>
      <c r="AH291" s="145"/>
      <c r="AI291" s="145"/>
      <c r="AJ291" s="145"/>
      <c r="AK291" s="28" t="str">
        <f t="shared" si="52"/>
        <v/>
      </c>
      <c r="AL291" s="145"/>
      <c r="AM291" s="28" t="str">
        <f t="shared" si="53"/>
        <v/>
      </c>
      <c r="AN291" s="140"/>
      <c r="AO291" s="28" t="str">
        <f t="shared" si="54"/>
        <v/>
      </c>
      <c r="AP291" s="140"/>
      <c r="AQ291" s="28" t="str">
        <f t="shared" si="55"/>
        <v/>
      </c>
      <c r="AR291" s="140"/>
      <c r="AS291" s="28" t="str">
        <f t="shared" si="56"/>
        <v/>
      </c>
      <c r="AT291" s="140"/>
      <c r="AU291" s="28" t="str">
        <f t="shared" si="57"/>
        <v/>
      </c>
      <c r="AV291" s="140"/>
      <c r="AW291" s="28" t="str">
        <f t="shared" si="58"/>
        <v/>
      </c>
      <c r="AX291" s="111" t="str">
        <f t="shared" si="59"/>
        <v/>
      </c>
      <c r="AY291" s="111" t="str">
        <f t="shared" si="60"/>
        <v/>
      </c>
      <c r="AZ291" s="141"/>
      <c r="BA291" s="153" t="str">
        <f t="shared" si="61"/>
        <v>Débil</v>
      </c>
      <c r="BB291" s="22" t="str">
        <f>IFERROR(VLOOKUP((CONCATENATE(AY291,BA291)),Listados!$U$3:$V$11,2,FALSE),"")</f>
        <v/>
      </c>
      <c r="BC291" s="111">
        <f t="shared" si="62"/>
        <v>100</v>
      </c>
      <c r="BD291" s="717"/>
      <c r="BE291" s="761"/>
      <c r="BF291" s="717"/>
      <c r="BG291" s="717"/>
      <c r="BH291" s="713"/>
      <c r="BI291" s="715"/>
      <c r="BJ291" s="713"/>
      <c r="BK291" s="713"/>
      <c r="BL291" s="799"/>
      <c r="BM291" s="800"/>
      <c r="BN291" s="801"/>
      <c r="BO291" s="799"/>
      <c r="BP291" s="800"/>
      <c r="BQ291" s="801"/>
      <c r="BR291" s="799"/>
      <c r="BS291" s="800"/>
      <c r="BT291" s="801"/>
    </row>
    <row r="292" spans="1:72" ht="15" thickBot="1">
      <c r="A292" s="724"/>
      <c r="B292" s="777"/>
      <c r="C292" s="730"/>
      <c r="D292" s="736"/>
      <c r="E292" s="755"/>
      <c r="F292" s="769"/>
      <c r="G292" s="736"/>
      <c r="H292" s="764"/>
      <c r="I292" s="764"/>
      <c r="J292" s="764"/>
      <c r="K292" s="764"/>
      <c r="L292" s="764"/>
      <c r="M292" s="764"/>
      <c r="N292" s="764"/>
      <c r="O292" s="764"/>
      <c r="P292" s="764"/>
      <c r="Q292" s="764"/>
      <c r="R292" s="764"/>
      <c r="S292" s="764"/>
      <c r="T292" s="764"/>
      <c r="U292" s="764"/>
      <c r="V292" s="764"/>
      <c r="W292" s="764"/>
      <c r="X292" s="764"/>
      <c r="Y292" s="764"/>
      <c r="Z292" s="727"/>
      <c r="AA292" s="722"/>
      <c r="AB292" s="727"/>
      <c r="AC292" s="720"/>
      <c r="AD292" s="722" t="str">
        <f>+IF(OR(AB292=1,AB292&lt;=5),"Moderado",IF(OR(AB292=6,AB292&lt;=11),"Mayor","Catastrófico"))</f>
        <v>Moderado</v>
      </c>
      <c r="AE292" s="720"/>
      <c r="AF292" s="715"/>
      <c r="AG292" s="52" t="s">
        <v>467</v>
      </c>
      <c r="AH292" s="145"/>
      <c r="AI292" s="145"/>
      <c r="AJ292" s="145"/>
      <c r="AK292" s="28" t="str">
        <f t="shared" si="52"/>
        <v/>
      </c>
      <c r="AL292" s="145"/>
      <c r="AM292" s="28" t="str">
        <f t="shared" si="53"/>
        <v/>
      </c>
      <c r="AN292" s="140"/>
      <c r="AO292" s="28" t="str">
        <f t="shared" si="54"/>
        <v/>
      </c>
      <c r="AP292" s="140"/>
      <c r="AQ292" s="28" t="str">
        <f t="shared" si="55"/>
        <v/>
      </c>
      <c r="AR292" s="140"/>
      <c r="AS292" s="28" t="str">
        <f t="shared" si="56"/>
        <v/>
      </c>
      <c r="AT292" s="140"/>
      <c r="AU292" s="28" t="str">
        <f t="shared" si="57"/>
        <v/>
      </c>
      <c r="AV292" s="140"/>
      <c r="AW292" s="28" t="str">
        <f t="shared" si="58"/>
        <v/>
      </c>
      <c r="AX292" s="111" t="str">
        <f t="shared" si="59"/>
        <v/>
      </c>
      <c r="AY292" s="111" t="str">
        <f t="shared" si="60"/>
        <v/>
      </c>
      <c r="AZ292" s="141"/>
      <c r="BA292" s="153" t="str">
        <f t="shared" si="61"/>
        <v>Débil</v>
      </c>
      <c r="BB292" s="22" t="str">
        <f>IFERROR(VLOOKUP((CONCATENATE(AY292,BA292)),Listados!$U$3:$V$11,2,FALSE),"")</f>
        <v/>
      </c>
      <c r="BC292" s="111">
        <f t="shared" si="62"/>
        <v>100</v>
      </c>
      <c r="BD292" s="717"/>
      <c r="BE292" s="761"/>
      <c r="BF292" s="717"/>
      <c r="BG292" s="717"/>
      <c r="BH292" s="713"/>
      <c r="BI292" s="715"/>
      <c r="BJ292" s="713"/>
      <c r="BK292" s="713"/>
      <c r="BL292" s="799"/>
      <c r="BM292" s="800"/>
      <c r="BN292" s="801"/>
      <c r="BO292" s="799"/>
      <c r="BP292" s="800"/>
      <c r="BQ292" s="801"/>
      <c r="BR292" s="799"/>
      <c r="BS292" s="800"/>
      <c r="BT292" s="801"/>
    </row>
    <row r="293" spans="1:72" ht="15" thickBot="1">
      <c r="A293" s="724"/>
      <c r="B293" s="777"/>
      <c r="C293" s="730"/>
      <c r="D293" s="736"/>
      <c r="E293" s="756"/>
      <c r="F293" s="770"/>
      <c r="G293" s="736"/>
      <c r="H293" s="764"/>
      <c r="I293" s="764"/>
      <c r="J293" s="764"/>
      <c r="K293" s="764"/>
      <c r="L293" s="764"/>
      <c r="M293" s="764"/>
      <c r="N293" s="764"/>
      <c r="O293" s="764"/>
      <c r="P293" s="764"/>
      <c r="Q293" s="764"/>
      <c r="R293" s="764"/>
      <c r="S293" s="764"/>
      <c r="T293" s="764"/>
      <c r="U293" s="764"/>
      <c r="V293" s="764"/>
      <c r="W293" s="764"/>
      <c r="X293" s="764"/>
      <c r="Y293" s="764"/>
      <c r="Z293" s="727"/>
      <c r="AA293" s="722"/>
      <c r="AB293" s="727"/>
      <c r="AC293" s="720"/>
      <c r="AD293" s="722" t="str">
        <f>+IF(OR(AB293=1,AB293&lt;=5),"Moderado",IF(OR(AB293=6,AB293&lt;=11),"Mayor","Catastrófico"))</f>
        <v>Moderado</v>
      </c>
      <c r="AE293" s="720"/>
      <c r="AF293" s="715"/>
      <c r="AG293" s="52" t="s">
        <v>467</v>
      </c>
      <c r="AH293" s="145"/>
      <c r="AI293" s="145"/>
      <c r="AJ293" s="145"/>
      <c r="AK293" s="28" t="str">
        <f t="shared" si="52"/>
        <v/>
      </c>
      <c r="AL293" s="145"/>
      <c r="AM293" s="28" t="str">
        <f t="shared" si="53"/>
        <v/>
      </c>
      <c r="AN293" s="140"/>
      <c r="AO293" s="28" t="str">
        <f t="shared" si="54"/>
        <v/>
      </c>
      <c r="AP293" s="140"/>
      <c r="AQ293" s="28" t="str">
        <f t="shared" si="55"/>
        <v/>
      </c>
      <c r="AR293" s="140"/>
      <c r="AS293" s="28" t="str">
        <f t="shared" si="56"/>
        <v/>
      </c>
      <c r="AT293" s="140"/>
      <c r="AU293" s="28" t="str">
        <f t="shared" si="57"/>
        <v/>
      </c>
      <c r="AV293" s="140"/>
      <c r="AW293" s="28" t="str">
        <f t="shared" si="58"/>
        <v/>
      </c>
      <c r="AX293" s="111" t="str">
        <f t="shared" si="59"/>
        <v/>
      </c>
      <c r="AY293" s="111" t="str">
        <f t="shared" si="60"/>
        <v/>
      </c>
      <c r="AZ293" s="141"/>
      <c r="BA293" s="153" t="str">
        <f t="shared" si="61"/>
        <v>Débil</v>
      </c>
      <c r="BB293" s="22" t="str">
        <f>IFERROR(VLOOKUP((CONCATENATE(AY293,BA293)),Listados!$U$3:$V$11,2,FALSE),"")</f>
        <v/>
      </c>
      <c r="BC293" s="111">
        <f t="shared" si="62"/>
        <v>100</v>
      </c>
      <c r="BD293" s="717"/>
      <c r="BE293" s="761"/>
      <c r="BF293" s="717"/>
      <c r="BG293" s="717"/>
      <c r="BH293" s="713"/>
      <c r="BI293" s="715"/>
      <c r="BJ293" s="713"/>
      <c r="BK293" s="713"/>
      <c r="BL293" s="799"/>
      <c r="BM293" s="800"/>
      <c r="BN293" s="801"/>
      <c r="BO293" s="799"/>
      <c r="BP293" s="800"/>
      <c r="BQ293" s="801"/>
      <c r="BR293" s="799"/>
      <c r="BS293" s="800"/>
      <c r="BT293" s="801"/>
    </row>
    <row r="294" spans="1:72" ht="15" thickBot="1">
      <c r="A294" s="725"/>
      <c r="B294" s="777"/>
      <c r="C294" s="731"/>
      <c r="D294" s="781"/>
      <c r="E294" s="757"/>
      <c r="F294" s="771"/>
      <c r="G294" s="736"/>
      <c r="H294" s="764"/>
      <c r="I294" s="764"/>
      <c r="J294" s="764"/>
      <c r="K294" s="764"/>
      <c r="L294" s="764"/>
      <c r="M294" s="764"/>
      <c r="N294" s="764"/>
      <c r="O294" s="764"/>
      <c r="P294" s="764"/>
      <c r="Q294" s="764"/>
      <c r="R294" s="764"/>
      <c r="S294" s="764"/>
      <c r="T294" s="764"/>
      <c r="U294" s="764"/>
      <c r="V294" s="764"/>
      <c r="W294" s="764"/>
      <c r="X294" s="764"/>
      <c r="Y294" s="764"/>
      <c r="Z294" s="727"/>
      <c r="AA294" s="722"/>
      <c r="AB294" s="727"/>
      <c r="AC294" s="721"/>
      <c r="AD294" s="722" t="str">
        <f>+IF(OR(AB294=1,AB294&lt;=5),"Moderado",IF(OR(AB294=6,AB294&lt;=11),"Mayor","Catastrófico"))</f>
        <v>Moderado</v>
      </c>
      <c r="AE294" s="721"/>
      <c r="AF294" s="715"/>
      <c r="AG294" s="52" t="s">
        <v>467</v>
      </c>
      <c r="AH294" s="145"/>
      <c r="AI294" s="145"/>
      <c r="AJ294" s="145"/>
      <c r="AK294" s="28" t="str">
        <f t="shared" si="52"/>
        <v/>
      </c>
      <c r="AL294" s="145"/>
      <c r="AM294" s="28" t="str">
        <f t="shared" si="53"/>
        <v/>
      </c>
      <c r="AN294" s="140"/>
      <c r="AO294" s="28" t="str">
        <f t="shared" si="54"/>
        <v/>
      </c>
      <c r="AP294" s="140"/>
      <c r="AQ294" s="28" t="str">
        <f t="shared" si="55"/>
        <v/>
      </c>
      <c r="AR294" s="140"/>
      <c r="AS294" s="28" t="str">
        <f t="shared" si="56"/>
        <v/>
      </c>
      <c r="AT294" s="140"/>
      <c r="AU294" s="28" t="str">
        <f t="shared" si="57"/>
        <v/>
      </c>
      <c r="AV294" s="140"/>
      <c r="AW294" s="28" t="str">
        <f t="shared" si="58"/>
        <v/>
      </c>
      <c r="AX294" s="111" t="str">
        <f t="shared" si="59"/>
        <v/>
      </c>
      <c r="AY294" s="111" t="str">
        <f t="shared" si="60"/>
        <v/>
      </c>
      <c r="AZ294" s="141"/>
      <c r="BA294" s="153" t="str">
        <f t="shared" si="61"/>
        <v>Débil</v>
      </c>
      <c r="BB294" s="22" t="str">
        <f>IFERROR(VLOOKUP((CONCATENATE(AY294,BA294)),Listados!$U$3:$V$11,2,FALSE),"")</f>
        <v/>
      </c>
      <c r="BC294" s="111">
        <f t="shared" si="62"/>
        <v>100</v>
      </c>
      <c r="BD294" s="718"/>
      <c r="BE294" s="761"/>
      <c r="BF294" s="718"/>
      <c r="BG294" s="718"/>
      <c r="BH294" s="714"/>
      <c r="BI294" s="715"/>
      <c r="BJ294" s="714"/>
      <c r="BK294" s="714"/>
      <c r="BL294" s="799"/>
      <c r="BM294" s="800"/>
      <c r="BN294" s="801"/>
      <c r="BO294" s="799"/>
      <c r="BP294" s="800"/>
      <c r="BQ294" s="801"/>
      <c r="BR294" s="799"/>
      <c r="BS294" s="800"/>
      <c r="BT294" s="801"/>
    </row>
    <row r="295" spans="1:72" ht="15" thickBot="1">
      <c r="A295" s="723">
        <v>49</v>
      </c>
      <c r="B295" s="776"/>
      <c r="C295" s="729" t="str">
        <f>IFERROR(VLOOKUP(B295,Listados!B$3:C$20,2,FALSE),"")</f>
        <v/>
      </c>
      <c r="D295" s="735" t="s">
        <v>584</v>
      </c>
      <c r="E295" s="105"/>
      <c r="F295" s="18"/>
      <c r="G295" s="735"/>
      <c r="H295" s="763"/>
      <c r="I295" s="763"/>
      <c r="J295" s="763"/>
      <c r="K295" s="763"/>
      <c r="L295" s="763"/>
      <c r="M295" s="763"/>
      <c r="N295" s="763"/>
      <c r="O295" s="763"/>
      <c r="P295" s="763"/>
      <c r="Q295" s="763"/>
      <c r="R295" s="763"/>
      <c r="S295" s="763"/>
      <c r="T295" s="763"/>
      <c r="U295" s="763"/>
      <c r="V295" s="763"/>
      <c r="W295" s="763"/>
      <c r="X295" s="763"/>
      <c r="Y295" s="763"/>
      <c r="Z295" s="762"/>
      <c r="AA295" s="721">
        <f>COUNTIF(H295:Z300, "SI")</f>
        <v>0</v>
      </c>
      <c r="AB295" s="762"/>
      <c r="AC295" s="719" t="e">
        <f>+VLOOKUP(AB295,Listados!$K$8:$L$12,2,0)</f>
        <v>#N/A</v>
      </c>
      <c r="AD295" s="721" t="str">
        <f>+IF(OR(AA295=1,AA295&lt;=5),"Moderado",IF(OR(AA295=6,AA295&lt;=11),"Mayor","Catastrófico"))</f>
        <v>Moderado</v>
      </c>
      <c r="AE295" s="719" t="e">
        <f>+VLOOKUP(AD295,Listados!K301:L305,2,0)</f>
        <v>#N/A</v>
      </c>
      <c r="AF295" s="714" t="str">
        <f>IF(AND(AB295&lt;&gt;"",AD295&lt;&gt;""),VLOOKUP(AB295&amp;AD295,Listados!$M$3:$N$27,2,FALSE),"")</f>
        <v/>
      </c>
      <c r="AG295" s="52" t="s">
        <v>467</v>
      </c>
      <c r="AH295" s="145"/>
      <c r="AI295" s="145"/>
      <c r="AJ295" s="145"/>
      <c r="AK295" s="28" t="str">
        <f t="shared" si="52"/>
        <v/>
      </c>
      <c r="AL295" s="145"/>
      <c r="AM295" s="28" t="str">
        <f t="shared" si="53"/>
        <v/>
      </c>
      <c r="AN295" s="140"/>
      <c r="AO295" s="28" t="str">
        <f t="shared" si="54"/>
        <v/>
      </c>
      <c r="AP295" s="140"/>
      <c r="AQ295" s="28" t="str">
        <f t="shared" si="55"/>
        <v/>
      </c>
      <c r="AR295" s="140"/>
      <c r="AS295" s="28" t="str">
        <f t="shared" si="56"/>
        <v/>
      </c>
      <c r="AT295" s="140"/>
      <c r="AU295" s="28" t="str">
        <f t="shared" si="57"/>
        <v/>
      </c>
      <c r="AV295" s="140"/>
      <c r="AW295" s="28" t="str">
        <f t="shared" si="58"/>
        <v/>
      </c>
      <c r="AX295" s="111" t="str">
        <f t="shared" si="59"/>
        <v/>
      </c>
      <c r="AY295" s="111" t="str">
        <f t="shared" si="60"/>
        <v/>
      </c>
      <c r="AZ295" s="141"/>
      <c r="BA295" s="153" t="str">
        <f t="shared" si="61"/>
        <v>Débil</v>
      </c>
      <c r="BB295" s="22" t="str">
        <f>IFERROR(VLOOKUP((CONCATENATE(AY295,BA295)),Listados!$U$3:$V$11,2,FALSE),"")</f>
        <v/>
      </c>
      <c r="BC295" s="111">
        <f t="shared" si="62"/>
        <v>100</v>
      </c>
      <c r="BD295" s="716">
        <f>AVERAGE(BC295:BC300)</f>
        <v>100</v>
      </c>
      <c r="BE295" s="718" t="str">
        <f>IF(BD295&lt;=50, "Débil", IF(BD295&lt;=99,"Moderado","Fuerte"))</f>
        <v>Fuerte</v>
      </c>
      <c r="BF295" s="716">
        <f>+IF(BE295="Fuerte",2,IF(BE295="Moderado",1,0))</f>
        <v>2</v>
      </c>
      <c r="BG295" s="716" t="e">
        <f>+AC295-BF295</f>
        <v>#N/A</v>
      </c>
      <c r="BH295" s="712" t="e">
        <f>+VLOOKUP(BG295,Listados!$J$18:$K$24,2,TRUE)</f>
        <v>#N/A</v>
      </c>
      <c r="BI295" s="714" t="str">
        <f>IF(ISBLANK(AD295),"",AD295)</f>
        <v>Moderado</v>
      </c>
      <c r="BJ295" s="712" t="e">
        <f>IF(AND(BH295&lt;&gt;"",BI295&lt;&gt;""),VLOOKUP(BH295&amp;BI295,Listados!$M$3:$N$27,2,FALSE),"")</f>
        <v>#N/A</v>
      </c>
      <c r="BK295" s="712" t="e">
        <f>+VLOOKUP(BJ295,Listados!$P$3:$Q$6,2,FALSE)</f>
        <v>#N/A</v>
      </c>
      <c r="BL295" s="799"/>
      <c r="BM295" s="800"/>
      <c r="BN295" s="801"/>
      <c r="BO295" s="799"/>
      <c r="BP295" s="800"/>
      <c r="BQ295" s="801"/>
      <c r="BR295" s="799"/>
      <c r="BS295" s="800"/>
      <c r="BT295" s="801"/>
    </row>
    <row r="296" spans="1:72" ht="15" thickBot="1">
      <c r="A296" s="724"/>
      <c r="B296" s="777"/>
      <c r="C296" s="730"/>
      <c r="D296" s="736"/>
      <c r="E296" s="161"/>
      <c r="F296" s="150"/>
      <c r="G296" s="736"/>
      <c r="H296" s="764"/>
      <c r="I296" s="764"/>
      <c r="J296" s="764"/>
      <c r="K296" s="764"/>
      <c r="L296" s="764"/>
      <c r="M296" s="764"/>
      <c r="N296" s="764"/>
      <c r="O296" s="764"/>
      <c r="P296" s="764"/>
      <c r="Q296" s="764"/>
      <c r="R296" s="764"/>
      <c r="S296" s="764"/>
      <c r="T296" s="764"/>
      <c r="U296" s="764"/>
      <c r="V296" s="764"/>
      <c r="W296" s="764"/>
      <c r="X296" s="764"/>
      <c r="Y296" s="764"/>
      <c r="Z296" s="727"/>
      <c r="AA296" s="722"/>
      <c r="AB296" s="727"/>
      <c r="AC296" s="720"/>
      <c r="AD296" s="722" t="str">
        <f>+IF(OR(AB296=1,AB296&lt;=5),"Moderado",IF(OR(AB296=6,AB296&lt;=11),"Mayor","Catastrófico"))</f>
        <v>Moderado</v>
      </c>
      <c r="AE296" s="720"/>
      <c r="AF296" s="715"/>
      <c r="AG296" s="52" t="s">
        <v>467</v>
      </c>
      <c r="AH296" s="145"/>
      <c r="AI296" s="145"/>
      <c r="AJ296" s="145"/>
      <c r="AK296" s="28" t="str">
        <f t="shared" si="52"/>
        <v/>
      </c>
      <c r="AL296" s="145"/>
      <c r="AM296" s="28" t="str">
        <f t="shared" si="53"/>
        <v/>
      </c>
      <c r="AN296" s="140"/>
      <c r="AO296" s="28" t="str">
        <f t="shared" si="54"/>
        <v/>
      </c>
      <c r="AP296" s="140"/>
      <c r="AQ296" s="28" t="str">
        <f t="shared" si="55"/>
        <v/>
      </c>
      <c r="AR296" s="140"/>
      <c r="AS296" s="28" t="str">
        <f t="shared" si="56"/>
        <v/>
      </c>
      <c r="AT296" s="140"/>
      <c r="AU296" s="28" t="str">
        <f t="shared" si="57"/>
        <v/>
      </c>
      <c r="AV296" s="140"/>
      <c r="AW296" s="28" t="str">
        <f t="shared" si="58"/>
        <v/>
      </c>
      <c r="AX296" s="111" t="str">
        <f t="shared" si="59"/>
        <v/>
      </c>
      <c r="AY296" s="111" t="str">
        <f t="shared" si="60"/>
        <v/>
      </c>
      <c r="AZ296" s="141"/>
      <c r="BA296" s="153" t="str">
        <f t="shared" si="61"/>
        <v>Débil</v>
      </c>
      <c r="BB296" s="22" t="str">
        <f>IFERROR(VLOOKUP((CONCATENATE(AY296,BA296)),Listados!$U$3:$V$11,2,FALSE),"")</f>
        <v/>
      </c>
      <c r="BC296" s="111">
        <f t="shared" si="62"/>
        <v>100</v>
      </c>
      <c r="BD296" s="717"/>
      <c r="BE296" s="761"/>
      <c r="BF296" s="717"/>
      <c r="BG296" s="717"/>
      <c r="BH296" s="713"/>
      <c r="BI296" s="715"/>
      <c r="BJ296" s="713"/>
      <c r="BK296" s="713"/>
      <c r="BL296" s="799"/>
      <c r="BM296" s="800"/>
      <c r="BN296" s="801"/>
      <c r="BO296" s="799"/>
      <c r="BP296" s="800"/>
      <c r="BQ296" s="801"/>
      <c r="BR296" s="799"/>
      <c r="BS296" s="800"/>
      <c r="BT296" s="801"/>
    </row>
    <row r="297" spans="1:72" ht="15" thickBot="1">
      <c r="A297" s="724"/>
      <c r="B297" s="777"/>
      <c r="C297" s="730"/>
      <c r="D297" s="736"/>
      <c r="E297" s="161"/>
      <c r="F297" s="150"/>
      <c r="G297" s="736"/>
      <c r="H297" s="764"/>
      <c r="I297" s="764"/>
      <c r="J297" s="764"/>
      <c r="K297" s="764"/>
      <c r="L297" s="764"/>
      <c r="M297" s="764"/>
      <c r="N297" s="764"/>
      <c r="O297" s="764"/>
      <c r="P297" s="764"/>
      <c r="Q297" s="764"/>
      <c r="R297" s="764"/>
      <c r="S297" s="764"/>
      <c r="T297" s="764"/>
      <c r="U297" s="764"/>
      <c r="V297" s="764"/>
      <c r="W297" s="764"/>
      <c r="X297" s="764"/>
      <c r="Y297" s="764"/>
      <c r="Z297" s="727"/>
      <c r="AA297" s="722"/>
      <c r="AB297" s="727"/>
      <c r="AC297" s="720"/>
      <c r="AD297" s="722" t="str">
        <f>+IF(OR(AB297=1,AB297&lt;=5),"Moderado",IF(OR(AB297=6,AB297&lt;=11),"Mayor","Catastrófico"))</f>
        <v>Moderado</v>
      </c>
      <c r="AE297" s="720"/>
      <c r="AF297" s="715"/>
      <c r="AG297" s="52" t="s">
        <v>467</v>
      </c>
      <c r="AH297" s="145"/>
      <c r="AI297" s="145"/>
      <c r="AJ297" s="145"/>
      <c r="AK297" s="28" t="str">
        <f t="shared" si="52"/>
        <v/>
      </c>
      <c r="AL297" s="145"/>
      <c r="AM297" s="28" t="str">
        <f t="shared" si="53"/>
        <v/>
      </c>
      <c r="AN297" s="140"/>
      <c r="AO297" s="28" t="str">
        <f t="shared" si="54"/>
        <v/>
      </c>
      <c r="AP297" s="140"/>
      <c r="AQ297" s="28" t="str">
        <f t="shared" si="55"/>
        <v/>
      </c>
      <c r="AR297" s="140"/>
      <c r="AS297" s="28" t="str">
        <f t="shared" si="56"/>
        <v/>
      </c>
      <c r="AT297" s="140"/>
      <c r="AU297" s="28" t="str">
        <f t="shared" si="57"/>
        <v/>
      </c>
      <c r="AV297" s="140"/>
      <c r="AW297" s="28" t="str">
        <f t="shared" si="58"/>
        <v/>
      </c>
      <c r="AX297" s="111" t="str">
        <f t="shared" si="59"/>
        <v/>
      </c>
      <c r="AY297" s="111" t="str">
        <f t="shared" si="60"/>
        <v/>
      </c>
      <c r="AZ297" s="141"/>
      <c r="BA297" s="153" t="str">
        <f t="shared" si="61"/>
        <v>Débil</v>
      </c>
      <c r="BB297" s="22" t="str">
        <f>IFERROR(VLOOKUP((CONCATENATE(AY297,BA297)),Listados!$U$3:$V$11,2,FALSE),"")</f>
        <v/>
      </c>
      <c r="BC297" s="111">
        <f t="shared" si="62"/>
        <v>100</v>
      </c>
      <c r="BD297" s="717"/>
      <c r="BE297" s="761"/>
      <c r="BF297" s="717"/>
      <c r="BG297" s="717"/>
      <c r="BH297" s="713"/>
      <c r="BI297" s="715"/>
      <c r="BJ297" s="713"/>
      <c r="BK297" s="713"/>
      <c r="BL297" s="799"/>
      <c r="BM297" s="800"/>
      <c r="BN297" s="801"/>
      <c r="BO297" s="799"/>
      <c r="BP297" s="800"/>
      <c r="BQ297" s="801"/>
      <c r="BR297" s="799"/>
      <c r="BS297" s="800"/>
      <c r="BT297" s="801"/>
    </row>
    <row r="298" spans="1:72" ht="15" thickBot="1">
      <c r="A298" s="724"/>
      <c r="B298" s="777"/>
      <c r="C298" s="730"/>
      <c r="D298" s="736"/>
      <c r="E298" s="755"/>
      <c r="F298" s="769"/>
      <c r="G298" s="736"/>
      <c r="H298" s="764"/>
      <c r="I298" s="764"/>
      <c r="J298" s="764"/>
      <c r="K298" s="764"/>
      <c r="L298" s="764"/>
      <c r="M298" s="764"/>
      <c r="N298" s="764"/>
      <c r="O298" s="764"/>
      <c r="P298" s="764"/>
      <c r="Q298" s="764"/>
      <c r="R298" s="764"/>
      <c r="S298" s="764"/>
      <c r="T298" s="764"/>
      <c r="U298" s="764"/>
      <c r="V298" s="764"/>
      <c r="W298" s="764"/>
      <c r="X298" s="764"/>
      <c r="Y298" s="764"/>
      <c r="Z298" s="727"/>
      <c r="AA298" s="722"/>
      <c r="AB298" s="727"/>
      <c r="AC298" s="720"/>
      <c r="AD298" s="722" t="str">
        <f>+IF(OR(AB298=1,AB298&lt;=5),"Moderado",IF(OR(AB298=6,AB298&lt;=11),"Mayor","Catastrófico"))</f>
        <v>Moderado</v>
      </c>
      <c r="AE298" s="720"/>
      <c r="AF298" s="715"/>
      <c r="AG298" s="52" t="s">
        <v>467</v>
      </c>
      <c r="AH298" s="145"/>
      <c r="AI298" s="145"/>
      <c r="AJ298" s="145"/>
      <c r="AK298" s="28" t="str">
        <f t="shared" si="52"/>
        <v/>
      </c>
      <c r="AL298" s="145"/>
      <c r="AM298" s="28" t="str">
        <f t="shared" si="53"/>
        <v/>
      </c>
      <c r="AN298" s="140"/>
      <c r="AO298" s="28" t="str">
        <f t="shared" si="54"/>
        <v/>
      </c>
      <c r="AP298" s="140"/>
      <c r="AQ298" s="28" t="str">
        <f t="shared" si="55"/>
        <v/>
      </c>
      <c r="AR298" s="140"/>
      <c r="AS298" s="28" t="str">
        <f t="shared" si="56"/>
        <v/>
      </c>
      <c r="AT298" s="140"/>
      <c r="AU298" s="28" t="str">
        <f t="shared" si="57"/>
        <v/>
      </c>
      <c r="AV298" s="140"/>
      <c r="AW298" s="28" t="str">
        <f t="shared" si="58"/>
        <v/>
      </c>
      <c r="AX298" s="111" t="str">
        <f t="shared" si="59"/>
        <v/>
      </c>
      <c r="AY298" s="111" t="str">
        <f t="shared" si="60"/>
        <v/>
      </c>
      <c r="AZ298" s="141"/>
      <c r="BA298" s="153" t="str">
        <f t="shared" si="61"/>
        <v>Débil</v>
      </c>
      <c r="BB298" s="22" t="str">
        <f>IFERROR(VLOOKUP((CONCATENATE(AY298,BA298)),Listados!$U$3:$V$11,2,FALSE),"")</f>
        <v/>
      </c>
      <c r="BC298" s="111">
        <f t="shared" si="62"/>
        <v>100</v>
      </c>
      <c r="BD298" s="717"/>
      <c r="BE298" s="761"/>
      <c r="BF298" s="717"/>
      <c r="BG298" s="717"/>
      <c r="BH298" s="713"/>
      <c r="BI298" s="715"/>
      <c r="BJ298" s="713"/>
      <c r="BK298" s="713"/>
      <c r="BL298" s="799"/>
      <c r="BM298" s="800"/>
      <c r="BN298" s="801"/>
      <c r="BO298" s="799"/>
      <c r="BP298" s="800"/>
      <c r="BQ298" s="801"/>
      <c r="BR298" s="799"/>
      <c r="BS298" s="800"/>
      <c r="BT298" s="801"/>
    </row>
    <row r="299" spans="1:72" ht="15" thickBot="1">
      <c r="A299" s="724"/>
      <c r="B299" s="777"/>
      <c r="C299" s="730"/>
      <c r="D299" s="736"/>
      <c r="E299" s="756"/>
      <c r="F299" s="770"/>
      <c r="G299" s="736"/>
      <c r="H299" s="764"/>
      <c r="I299" s="764"/>
      <c r="J299" s="764"/>
      <c r="K299" s="764"/>
      <c r="L299" s="764"/>
      <c r="M299" s="764"/>
      <c r="N299" s="764"/>
      <c r="O299" s="764"/>
      <c r="P299" s="764"/>
      <c r="Q299" s="764"/>
      <c r="R299" s="764"/>
      <c r="S299" s="764"/>
      <c r="T299" s="764"/>
      <c r="U299" s="764"/>
      <c r="V299" s="764"/>
      <c r="W299" s="764"/>
      <c r="X299" s="764"/>
      <c r="Y299" s="764"/>
      <c r="Z299" s="727"/>
      <c r="AA299" s="722"/>
      <c r="AB299" s="727"/>
      <c r="AC299" s="720"/>
      <c r="AD299" s="722" t="str">
        <f>+IF(OR(AB299=1,AB299&lt;=5),"Moderado",IF(OR(AB299=6,AB299&lt;=11),"Mayor","Catastrófico"))</f>
        <v>Moderado</v>
      </c>
      <c r="AE299" s="720"/>
      <c r="AF299" s="715"/>
      <c r="AG299" s="52" t="s">
        <v>467</v>
      </c>
      <c r="AH299" s="145"/>
      <c r="AI299" s="145"/>
      <c r="AJ299" s="145"/>
      <c r="AK299" s="28" t="str">
        <f t="shared" si="52"/>
        <v/>
      </c>
      <c r="AL299" s="145"/>
      <c r="AM299" s="28" t="str">
        <f t="shared" si="53"/>
        <v/>
      </c>
      <c r="AN299" s="140"/>
      <c r="AO299" s="28" t="str">
        <f t="shared" si="54"/>
        <v/>
      </c>
      <c r="AP299" s="140"/>
      <c r="AQ299" s="28" t="str">
        <f t="shared" si="55"/>
        <v/>
      </c>
      <c r="AR299" s="140"/>
      <c r="AS299" s="28" t="str">
        <f t="shared" si="56"/>
        <v/>
      </c>
      <c r="AT299" s="140"/>
      <c r="AU299" s="28" t="str">
        <f t="shared" si="57"/>
        <v/>
      </c>
      <c r="AV299" s="140"/>
      <c r="AW299" s="28" t="str">
        <f t="shared" si="58"/>
        <v/>
      </c>
      <c r="AX299" s="111" t="str">
        <f t="shared" si="59"/>
        <v/>
      </c>
      <c r="AY299" s="111" t="str">
        <f t="shared" si="60"/>
        <v/>
      </c>
      <c r="AZ299" s="141"/>
      <c r="BA299" s="153" t="str">
        <f t="shared" si="61"/>
        <v>Débil</v>
      </c>
      <c r="BB299" s="22" t="str">
        <f>IFERROR(VLOOKUP((CONCATENATE(AY299,BA299)),Listados!$U$3:$V$11,2,FALSE),"")</f>
        <v/>
      </c>
      <c r="BC299" s="111">
        <f t="shared" si="62"/>
        <v>100</v>
      </c>
      <c r="BD299" s="717"/>
      <c r="BE299" s="761"/>
      <c r="BF299" s="717"/>
      <c r="BG299" s="717"/>
      <c r="BH299" s="713"/>
      <c r="BI299" s="715"/>
      <c r="BJ299" s="713"/>
      <c r="BK299" s="713"/>
      <c r="BL299" s="799"/>
      <c r="BM299" s="800"/>
      <c r="BN299" s="801"/>
      <c r="BO299" s="799"/>
      <c r="BP299" s="800"/>
      <c r="BQ299" s="801"/>
      <c r="BR299" s="799"/>
      <c r="BS299" s="800"/>
      <c r="BT299" s="801"/>
    </row>
    <row r="300" spans="1:72" ht="15" thickBot="1">
      <c r="A300" s="725"/>
      <c r="B300" s="777"/>
      <c r="C300" s="731"/>
      <c r="D300" s="781"/>
      <c r="E300" s="757"/>
      <c r="F300" s="771"/>
      <c r="G300" s="736"/>
      <c r="H300" s="764"/>
      <c r="I300" s="764"/>
      <c r="J300" s="764"/>
      <c r="K300" s="764"/>
      <c r="L300" s="764"/>
      <c r="M300" s="764"/>
      <c r="N300" s="764"/>
      <c r="O300" s="764"/>
      <c r="P300" s="764"/>
      <c r="Q300" s="764"/>
      <c r="R300" s="764"/>
      <c r="S300" s="764"/>
      <c r="T300" s="764"/>
      <c r="U300" s="764"/>
      <c r="V300" s="764"/>
      <c r="W300" s="764"/>
      <c r="X300" s="764"/>
      <c r="Y300" s="764"/>
      <c r="Z300" s="727"/>
      <c r="AA300" s="722"/>
      <c r="AB300" s="727"/>
      <c r="AC300" s="721"/>
      <c r="AD300" s="722" t="str">
        <f>+IF(OR(AB300=1,AB300&lt;=5),"Moderado",IF(OR(AB300=6,AB300&lt;=11),"Mayor","Catastrófico"))</f>
        <v>Moderado</v>
      </c>
      <c r="AE300" s="721"/>
      <c r="AF300" s="715"/>
      <c r="AG300" s="52" t="s">
        <v>467</v>
      </c>
      <c r="AH300" s="145"/>
      <c r="AI300" s="145"/>
      <c r="AJ300" s="145"/>
      <c r="AK300" s="28" t="str">
        <f t="shared" si="52"/>
        <v/>
      </c>
      <c r="AL300" s="145"/>
      <c r="AM300" s="28" t="str">
        <f t="shared" si="53"/>
        <v/>
      </c>
      <c r="AN300" s="140"/>
      <c r="AO300" s="28" t="str">
        <f t="shared" si="54"/>
        <v/>
      </c>
      <c r="AP300" s="140"/>
      <c r="AQ300" s="28" t="str">
        <f t="shared" si="55"/>
        <v/>
      </c>
      <c r="AR300" s="140"/>
      <c r="AS300" s="28" t="str">
        <f t="shared" si="56"/>
        <v/>
      </c>
      <c r="AT300" s="140"/>
      <c r="AU300" s="28" t="str">
        <f t="shared" si="57"/>
        <v/>
      </c>
      <c r="AV300" s="140"/>
      <c r="AW300" s="28" t="str">
        <f t="shared" si="58"/>
        <v/>
      </c>
      <c r="AX300" s="111" t="str">
        <f t="shared" si="59"/>
        <v/>
      </c>
      <c r="AY300" s="111" t="str">
        <f t="shared" si="60"/>
        <v/>
      </c>
      <c r="AZ300" s="141"/>
      <c r="BA300" s="153" t="str">
        <f t="shared" si="61"/>
        <v>Débil</v>
      </c>
      <c r="BB300" s="22" t="str">
        <f>IFERROR(VLOOKUP((CONCATENATE(AY300,BA300)),Listados!$U$3:$V$11,2,FALSE),"")</f>
        <v/>
      </c>
      <c r="BC300" s="111">
        <f t="shared" si="62"/>
        <v>100</v>
      </c>
      <c r="BD300" s="718"/>
      <c r="BE300" s="761"/>
      <c r="BF300" s="718"/>
      <c r="BG300" s="718"/>
      <c r="BH300" s="714"/>
      <c r="BI300" s="715"/>
      <c r="BJ300" s="714"/>
      <c r="BK300" s="714"/>
      <c r="BL300" s="799"/>
      <c r="BM300" s="800"/>
      <c r="BN300" s="801"/>
      <c r="BO300" s="799"/>
      <c r="BP300" s="800"/>
      <c r="BQ300" s="801"/>
      <c r="BR300" s="799"/>
      <c r="BS300" s="800"/>
      <c r="BT300" s="801"/>
    </row>
    <row r="301" spans="1:72" ht="15" thickBot="1">
      <c r="A301" s="723">
        <v>50</v>
      </c>
      <c r="B301" s="776"/>
      <c r="C301" s="729" t="str">
        <f>IFERROR(VLOOKUP(B301,Listados!B$3:C$20,2,FALSE),"")</f>
        <v/>
      </c>
      <c r="D301" s="735" t="s">
        <v>584</v>
      </c>
      <c r="E301" s="105"/>
      <c r="F301" s="18"/>
      <c r="G301" s="735"/>
      <c r="H301" s="763"/>
      <c r="I301" s="763"/>
      <c r="J301" s="763"/>
      <c r="K301" s="763"/>
      <c r="L301" s="763"/>
      <c r="M301" s="763"/>
      <c r="N301" s="763"/>
      <c r="O301" s="763"/>
      <c r="P301" s="763"/>
      <c r="Q301" s="763"/>
      <c r="R301" s="763"/>
      <c r="S301" s="763"/>
      <c r="T301" s="763"/>
      <c r="U301" s="763"/>
      <c r="V301" s="763"/>
      <c r="W301" s="763"/>
      <c r="X301" s="763"/>
      <c r="Y301" s="763"/>
      <c r="Z301" s="762"/>
      <c r="AA301" s="721">
        <f>COUNTIF(H301:Z306, "SI")</f>
        <v>0</v>
      </c>
      <c r="AB301" s="762"/>
      <c r="AC301" s="719" t="e">
        <f>+VLOOKUP(AB301,Listados!$K$8:$L$12,2,0)</f>
        <v>#N/A</v>
      </c>
      <c r="AD301" s="721" t="str">
        <f>+IF(OR(AA301=1,AA301&lt;=5),"Moderado",IF(OR(AA301=6,AA301&lt;=11),"Mayor","Catastrófico"))</f>
        <v>Moderado</v>
      </c>
      <c r="AE301" s="719" t="e">
        <f>+VLOOKUP(AD301,Listados!K307:L311,2,0)</f>
        <v>#N/A</v>
      </c>
      <c r="AF301" s="714" t="str">
        <f>IF(AND(AB301&lt;&gt;"",AD301&lt;&gt;""),VLOOKUP(AB301&amp;AD301,Listados!$M$3:$N$27,2,FALSE),"")</f>
        <v/>
      </c>
      <c r="AG301" s="52" t="s">
        <v>467</v>
      </c>
      <c r="AH301" s="145"/>
      <c r="AI301" s="145"/>
      <c r="AJ301" s="145"/>
      <c r="AK301" s="28" t="str">
        <f t="shared" si="52"/>
        <v/>
      </c>
      <c r="AL301" s="145"/>
      <c r="AM301" s="28" t="str">
        <f t="shared" si="53"/>
        <v/>
      </c>
      <c r="AN301" s="140"/>
      <c r="AO301" s="28" t="str">
        <f t="shared" si="54"/>
        <v/>
      </c>
      <c r="AP301" s="140"/>
      <c r="AQ301" s="28" t="str">
        <f t="shared" si="55"/>
        <v/>
      </c>
      <c r="AR301" s="140"/>
      <c r="AS301" s="28" t="str">
        <f t="shared" si="56"/>
        <v/>
      </c>
      <c r="AT301" s="140"/>
      <c r="AU301" s="28" t="str">
        <f t="shared" si="57"/>
        <v/>
      </c>
      <c r="AV301" s="140"/>
      <c r="AW301" s="28" t="str">
        <f t="shared" si="58"/>
        <v/>
      </c>
      <c r="AX301" s="111" t="str">
        <f t="shared" si="59"/>
        <v/>
      </c>
      <c r="AY301" s="111" t="str">
        <f t="shared" si="60"/>
        <v/>
      </c>
      <c r="AZ301" s="141"/>
      <c r="BA301" s="153" t="str">
        <f t="shared" si="61"/>
        <v>Débil</v>
      </c>
      <c r="BB301" s="22" t="str">
        <f>IFERROR(VLOOKUP((CONCATENATE(AY301,BA301)),Listados!$U$3:$V$11,2,FALSE),"")</f>
        <v/>
      </c>
      <c r="BC301" s="111">
        <f t="shared" si="62"/>
        <v>100</v>
      </c>
      <c r="BD301" s="716">
        <f>AVERAGE(BC301:BC306)</f>
        <v>100</v>
      </c>
      <c r="BE301" s="718" t="str">
        <f>IF(BD301&lt;=50, "Débil", IF(BD301&lt;=99,"Moderado","Fuerte"))</f>
        <v>Fuerte</v>
      </c>
      <c r="BF301" s="716">
        <f>+IF(BE301="Fuerte",2,IF(BE301="Moderado",1,0))</f>
        <v>2</v>
      </c>
      <c r="BG301" s="716" t="e">
        <f>+AC301-BF301</f>
        <v>#N/A</v>
      </c>
      <c r="BH301" s="712" t="e">
        <f>+VLOOKUP(BG301,Listados!$J$18:$K$24,2,TRUE)</f>
        <v>#N/A</v>
      </c>
      <c r="BI301" s="714" t="str">
        <f>IF(ISBLANK(AD301),"",AD301)</f>
        <v>Moderado</v>
      </c>
      <c r="BJ301" s="712" t="e">
        <f>IF(AND(BH301&lt;&gt;"",BI301&lt;&gt;""),VLOOKUP(BH301&amp;BI301,Listados!$M$3:$N$27,2,FALSE),"")</f>
        <v>#N/A</v>
      </c>
      <c r="BK301" s="712" t="e">
        <f>+VLOOKUP(BJ301,Listados!$P$3:$Q$6,2,FALSE)</f>
        <v>#N/A</v>
      </c>
      <c r="BL301" s="799"/>
      <c r="BM301" s="800"/>
      <c r="BN301" s="801"/>
      <c r="BO301" s="799"/>
      <c r="BP301" s="800"/>
      <c r="BQ301" s="801"/>
      <c r="BR301" s="799"/>
      <c r="BS301" s="800"/>
      <c r="BT301" s="801"/>
    </row>
    <row r="302" spans="1:72" ht="15" thickBot="1">
      <c r="A302" s="724"/>
      <c r="B302" s="777"/>
      <c r="C302" s="730"/>
      <c r="D302" s="736"/>
      <c r="E302" s="161"/>
      <c r="F302" s="150"/>
      <c r="G302" s="736"/>
      <c r="H302" s="764"/>
      <c r="I302" s="764"/>
      <c r="J302" s="764"/>
      <c r="K302" s="764"/>
      <c r="L302" s="764"/>
      <c r="M302" s="764"/>
      <c r="N302" s="764"/>
      <c r="O302" s="764"/>
      <c r="P302" s="764"/>
      <c r="Q302" s="764"/>
      <c r="R302" s="764"/>
      <c r="S302" s="764"/>
      <c r="T302" s="764"/>
      <c r="U302" s="764"/>
      <c r="V302" s="764"/>
      <c r="W302" s="764"/>
      <c r="X302" s="764"/>
      <c r="Y302" s="764"/>
      <c r="Z302" s="727"/>
      <c r="AA302" s="722"/>
      <c r="AB302" s="727"/>
      <c r="AC302" s="720"/>
      <c r="AD302" s="722" t="str">
        <f>+IF(OR(AB302=1,AB302&lt;=5),"Moderado",IF(OR(AB302=6,AB302&lt;=11),"Mayor","Catastrófico"))</f>
        <v>Moderado</v>
      </c>
      <c r="AE302" s="720"/>
      <c r="AF302" s="715"/>
      <c r="AG302" s="52" t="s">
        <v>467</v>
      </c>
      <c r="AH302" s="145"/>
      <c r="AI302" s="145"/>
      <c r="AJ302" s="145"/>
      <c r="AK302" s="28" t="str">
        <f t="shared" si="52"/>
        <v/>
      </c>
      <c r="AL302" s="145"/>
      <c r="AM302" s="28" t="str">
        <f t="shared" si="53"/>
        <v/>
      </c>
      <c r="AN302" s="140"/>
      <c r="AO302" s="28" t="str">
        <f t="shared" si="54"/>
        <v/>
      </c>
      <c r="AP302" s="140"/>
      <c r="AQ302" s="28" t="str">
        <f t="shared" si="55"/>
        <v/>
      </c>
      <c r="AR302" s="140"/>
      <c r="AS302" s="28" t="str">
        <f t="shared" si="56"/>
        <v/>
      </c>
      <c r="AT302" s="140"/>
      <c r="AU302" s="28" t="str">
        <f t="shared" si="57"/>
        <v/>
      </c>
      <c r="AV302" s="140"/>
      <c r="AW302" s="28" t="str">
        <f t="shared" si="58"/>
        <v/>
      </c>
      <c r="AX302" s="111" t="str">
        <f t="shared" si="59"/>
        <v/>
      </c>
      <c r="AY302" s="111" t="str">
        <f t="shared" si="60"/>
        <v/>
      </c>
      <c r="AZ302" s="141"/>
      <c r="BA302" s="153" t="str">
        <f t="shared" si="61"/>
        <v>Débil</v>
      </c>
      <c r="BB302" s="22" t="str">
        <f>IFERROR(VLOOKUP((CONCATENATE(AY302,BA302)),Listados!$U$3:$V$11,2,FALSE),"")</f>
        <v/>
      </c>
      <c r="BC302" s="111">
        <f t="shared" si="62"/>
        <v>100</v>
      </c>
      <c r="BD302" s="717"/>
      <c r="BE302" s="761"/>
      <c r="BF302" s="717"/>
      <c r="BG302" s="717"/>
      <c r="BH302" s="713"/>
      <c r="BI302" s="715"/>
      <c r="BJ302" s="713"/>
      <c r="BK302" s="713"/>
      <c r="BL302" s="799"/>
      <c r="BM302" s="800"/>
      <c r="BN302" s="801"/>
      <c r="BO302" s="799"/>
      <c r="BP302" s="800"/>
      <c r="BQ302" s="801"/>
      <c r="BR302" s="799"/>
      <c r="BS302" s="800"/>
      <c r="BT302" s="801"/>
    </row>
    <row r="303" spans="1:72" ht="15" thickBot="1">
      <c r="A303" s="724"/>
      <c r="B303" s="777"/>
      <c r="C303" s="730"/>
      <c r="D303" s="736"/>
      <c r="E303" s="161"/>
      <c r="F303" s="150"/>
      <c r="G303" s="736"/>
      <c r="H303" s="764"/>
      <c r="I303" s="764"/>
      <c r="J303" s="764"/>
      <c r="K303" s="764"/>
      <c r="L303" s="764"/>
      <c r="M303" s="764"/>
      <c r="N303" s="764"/>
      <c r="O303" s="764"/>
      <c r="P303" s="764"/>
      <c r="Q303" s="764"/>
      <c r="R303" s="764"/>
      <c r="S303" s="764"/>
      <c r="T303" s="764"/>
      <c r="U303" s="764"/>
      <c r="V303" s="764"/>
      <c r="W303" s="764"/>
      <c r="X303" s="764"/>
      <c r="Y303" s="764"/>
      <c r="Z303" s="727"/>
      <c r="AA303" s="722"/>
      <c r="AB303" s="727"/>
      <c r="AC303" s="720"/>
      <c r="AD303" s="722" t="str">
        <f>+IF(OR(AB303=1,AB303&lt;=5),"Moderado",IF(OR(AB303=6,AB303&lt;=11),"Mayor","Catastrófico"))</f>
        <v>Moderado</v>
      </c>
      <c r="AE303" s="720"/>
      <c r="AF303" s="715"/>
      <c r="AG303" s="52" t="s">
        <v>467</v>
      </c>
      <c r="AH303" s="145"/>
      <c r="AI303" s="145"/>
      <c r="AJ303" s="145"/>
      <c r="AK303" s="28" t="str">
        <f t="shared" si="52"/>
        <v/>
      </c>
      <c r="AL303" s="145"/>
      <c r="AM303" s="28" t="str">
        <f t="shared" si="53"/>
        <v/>
      </c>
      <c r="AN303" s="140"/>
      <c r="AO303" s="28" t="str">
        <f t="shared" si="54"/>
        <v/>
      </c>
      <c r="AP303" s="140"/>
      <c r="AQ303" s="28" t="str">
        <f t="shared" si="55"/>
        <v/>
      </c>
      <c r="AR303" s="140"/>
      <c r="AS303" s="28" t="str">
        <f t="shared" si="56"/>
        <v/>
      </c>
      <c r="AT303" s="140"/>
      <c r="AU303" s="28" t="str">
        <f t="shared" si="57"/>
        <v/>
      </c>
      <c r="AV303" s="140"/>
      <c r="AW303" s="28" t="str">
        <f t="shared" si="58"/>
        <v/>
      </c>
      <c r="AX303" s="111" t="str">
        <f t="shared" si="59"/>
        <v/>
      </c>
      <c r="AY303" s="111" t="str">
        <f t="shared" si="60"/>
        <v/>
      </c>
      <c r="AZ303" s="141"/>
      <c r="BA303" s="153" t="str">
        <f t="shared" si="61"/>
        <v>Débil</v>
      </c>
      <c r="BB303" s="22" t="str">
        <f>IFERROR(VLOOKUP((CONCATENATE(AY303,BA303)),Listados!$U$3:$V$11,2,FALSE),"")</f>
        <v/>
      </c>
      <c r="BC303" s="111">
        <f t="shared" si="62"/>
        <v>100</v>
      </c>
      <c r="BD303" s="717"/>
      <c r="BE303" s="761"/>
      <c r="BF303" s="717"/>
      <c r="BG303" s="717"/>
      <c r="BH303" s="713"/>
      <c r="BI303" s="715"/>
      <c r="BJ303" s="713"/>
      <c r="BK303" s="713"/>
      <c r="BL303" s="799"/>
      <c r="BM303" s="800"/>
      <c r="BN303" s="801"/>
      <c r="BO303" s="799"/>
      <c r="BP303" s="800"/>
      <c r="BQ303" s="801"/>
      <c r="BR303" s="799"/>
      <c r="BS303" s="800"/>
      <c r="BT303" s="801"/>
    </row>
    <row r="304" spans="1:72" ht="15" thickBot="1">
      <c r="A304" s="724"/>
      <c r="B304" s="777"/>
      <c r="C304" s="730"/>
      <c r="D304" s="736"/>
      <c r="E304" s="755"/>
      <c r="F304" s="769"/>
      <c r="G304" s="736"/>
      <c r="H304" s="764"/>
      <c r="I304" s="764"/>
      <c r="J304" s="764"/>
      <c r="K304" s="764"/>
      <c r="L304" s="764"/>
      <c r="M304" s="764"/>
      <c r="N304" s="764"/>
      <c r="O304" s="764"/>
      <c r="P304" s="764"/>
      <c r="Q304" s="764"/>
      <c r="R304" s="764"/>
      <c r="S304" s="764"/>
      <c r="T304" s="764"/>
      <c r="U304" s="764"/>
      <c r="V304" s="764"/>
      <c r="W304" s="764"/>
      <c r="X304" s="764"/>
      <c r="Y304" s="764"/>
      <c r="Z304" s="727"/>
      <c r="AA304" s="722"/>
      <c r="AB304" s="727"/>
      <c r="AC304" s="720"/>
      <c r="AD304" s="722" t="str">
        <f>+IF(OR(AB304=1,AB304&lt;=5),"Moderado",IF(OR(AB304=6,AB304&lt;=11),"Mayor","Catastrófico"))</f>
        <v>Moderado</v>
      </c>
      <c r="AE304" s="720"/>
      <c r="AF304" s="715"/>
      <c r="AG304" s="52" t="s">
        <v>467</v>
      </c>
      <c r="AH304" s="145"/>
      <c r="AI304" s="145"/>
      <c r="AJ304" s="145"/>
      <c r="AK304" s="28" t="str">
        <f t="shared" si="52"/>
        <v/>
      </c>
      <c r="AL304" s="145"/>
      <c r="AM304" s="28" t="str">
        <f t="shared" si="53"/>
        <v/>
      </c>
      <c r="AN304" s="140"/>
      <c r="AO304" s="28" t="str">
        <f t="shared" si="54"/>
        <v/>
      </c>
      <c r="AP304" s="140"/>
      <c r="AQ304" s="28" t="str">
        <f t="shared" si="55"/>
        <v/>
      </c>
      <c r="AR304" s="140"/>
      <c r="AS304" s="28" t="str">
        <f t="shared" si="56"/>
        <v/>
      </c>
      <c r="AT304" s="140"/>
      <c r="AU304" s="28" t="str">
        <f t="shared" si="57"/>
        <v/>
      </c>
      <c r="AV304" s="140"/>
      <c r="AW304" s="28" t="str">
        <f t="shared" si="58"/>
        <v/>
      </c>
      <c r="AX304" s="111" t="str">
        <f t="shared" si="59"/>
        <v/>
      </c>
      <c r="AY304" s="111" t="str">
        <f t="shared" si="60"/>
        <v/>
      </c>
      <c r="AZ304" s="141"/>
      <c r="BA304" s="153" t="str">
        <f t="shared" si="61"/>
        <v>Débil</v>
      </c>
      <c r="BB304" s="22" t="str">
        <f>IFERROR(VLOOKUP((CONCATENATE(AY304,BA304)),Listados!$U$3:$V$11,2,FALSE),"")</f>
        <v/>
      </c>
      <c r="BC304" s="111">
        <f t="shared" si="62"/>
        <v>100</v>
      </c>
      <c r="BD304" s="717"/>
      <c r="BE304" s="761"/>
      <c r="BF304" s="717"/>
      <c r="BG304" s="717"/>
      <c r="BH304" s="713"/>
      <c r="BI304" s="715"/>
      <c r="BJ304" s="713"/>
      <c r="BK304" s="713"/>
      <c r="BL304" s="799"/>
      <c r="BM304" s="800"/>
      <c r="BN304" s="801"/>
      <c r="BO304" s="799"/>
      <c r="BP304" s="800"/>
      <c r="BQ304" s="801"/>
      <c r="BR304" s="799"/>
      <c r="BS304" s="800"/>
      <c r="BT304" s="801"/>
    </row>
    <row r="305" spans="1:72" ht="15" thickBot="1">
      <c r="A305" s="724"/>
      <c r="B305" s="777"/>
      <c r="C305" s="730"/>
      <c r="D305" s="736"/>
      <c r="E305" s="756"/>
      <c r="F305" s="770"/>
      <c r="G305" s="736"/>
      <c r="H305" s="764"/>
      <c r="I305" s="764"/>
      <c r="J305" s="764"/>
      <c r="K305" s="764"/>
      <c r="L305" s="764"/>
      <c r="M305" s="764"/>
      <c r="N305" s="764"/>
      <c r="O305" s="764"/>
      <c r="P305" s="764"/>
      <c r="Q305" s="764"/>
      <c r="R305" s="764"/>
      <c r="S305" s="764"/>
      <c r="T305" s="764"/>
      <c r="U305" s="764"/>
      <c r="V305" s="764"/>
      <c r="W305" s="764"/>
      <c r="X305" s="764"/>
      <c r="Y305" s="764"/>
      <c r="Z305" s="727"/>
      <c r="AA305" s="722"/>
      <c r="AB305" s="727"/>
      <c r="AC305" s="720"/>
      <c r="AD305" s="722" t="str">
        <f>+IF(OR(AB305=1,AB305&lt;=5),"Moderado",IF(OR(AB305=6,AB305&lt;=11),"Mayor","Catastrófico"))</f>
        <v>Moderado</v>
      </c>
      <c r="AE305" s="720"/>
      <c r="AF305" s="715"/>
      <c r="AG305" s="52" t="s">
        <v>467</v>
      </c>
      <c r="AH305" s="145"/>
      <c r="AI305" s="145"/>
      <c r="AJ305" s="145"/>
      <c r="AK305" s="28" t="str">
        <f t="shared" si="52"/>
        <v/>
      </c>
      <c r="AL305" s="145"/>
      <c r="AM305" s="28" t="str">
        <f t="shared" si="53"/>
        <v/>
      </c>
      <c r="AN305" s="140"/>
      <c r="AO305" s="28" t="str">
        <f t="shared" si="54"/>
        <v/>
      </c>
      <c r="AP305" s="140"/>
      <c r="AQ305" s="28" t="str">
        <f t="shared" si="55"/>
        <v/>
      </c>
      <c r="AR305" s="140"/>
      <c r="AS305" s="28" t="str">
        <f t="shared" si="56"/>
        <v/>
      </c>
      <c r="AT305" s="140"/>
      <c r="AU305" s="28" t="str">
        <f t="shared" si="57"/>
        <v/>
      </c>
      <c r="AV305" s="140"/>
      <c r="AW305" s="28" t="str">
        <f t="shared" si="58"/>
        <v/>
      </c>
      <c r="AX305" s="111" t="str">
        <f t="shared" si="59"/>
        <v/>
      </c>
      <c r="AY305" s="111" t="str">
        <f t="shared" si="60"/>
        <v/>
      </c>
      <c r="AZ305" s="141"/>
      <c r="BA305" s="153" t="str">
        <f t="shared" si="61"/>
        <v>Débil</v>
      </c>
      <c r="BB305" s="22" t="str">
        <f>IFERROR(VLOOKUP((CONCATENATE(AY305,BA305)),Listados!$U$3:$V$11,2,FALSE),"")</f>
        <v/>
      </c>
      <c r="BC305" s="111">
        <f t="shared" si="62"/>
        <v>100</v>
      </c>
      <c r="BD305" s="717"/>
      <c r="BE305" s="761"/>
      <c r="BF305" s="717"/>
      <c r="BG305" s="717"/>
      <c r="BH305" s="713"/>
      <c r="BI305" s="715"/>
      <c r="BJ305" s="713"/>
      <c r="BK305" s="713"/>
      <c r="BL305" s="799"/>
      <c r="BM305" s="800"/>
      <c r="BN305" s="801"/>
      <c r="BO305" s="799"/>
      <c r="BP305" s="800"/>
      <c r="BQ305" s="801"/>
      <c r="BR305" s="799"/>
      <c r="BS305" s="800"/>
      <c r="BT305" s="801"/>
    </row>
    <row r="306" spans="1:72" ht="15" thickBot="1">
      <c r="A306" s="725"/>
      <c r="B306" s="777"/>
      <c r="C306" s="731"/>
      <c r="D306" s="781"/>
      <c r="E306" s="757"/>
      <c r="F306" s="771"/>
      <c r="G306" s="736"/>
      <c r="H306" s="764"/>
      <c r="I306" s="764"/>
      <c r="J306" s="764"/>
      <c r="K306" s="764"/>
      <c r="L306" s="764"/>
      <c r="M306" s="764"/>
      <c r="N306" s="764"/>
      <c r="O306" s="764"/>
      <c r="P306" s="764"/>
      <c r="Q306" s="764"/>
      <c r="R306" s="764"/>
      <c r="S306" s="764"/>
      <c r="T306" s="764"/>
      <c r="U306" s="764"/>
      <c r="V306" s="764"/>
      <c r="W306" s="764"/>
      <c r="X306" s="764"/>
      <c r="Y306" s="764"/>
      <c r="Z306" s="727"/>
      <c r="AA306" s="722"/>
      <c r="AB306" s="727"/>
      <c r="AC306" s="721"/>
      <c r="AD306" s="722" t="str">
        <f>+IF(OR(AB306=1,AB306&lt;=5),"Moderado",IF(OR(AB306=6,AB306&lt;=11),"Mayor","Catastrófico"))</f>
        <v>Moderado</v>
      </c>
      <c r="AE306" s="721"/>
      <c r="AF306" s="715"/>
      <c r="AG306" s="52" t="s">
        <v>467</v>
      </c>
      <c r="AH306" s="145"/>
      <c r="AI306" s="145"/>
      <c r="AJ306" s="145"/>
      <c r="AK306" s="28" t="str">
        <f t="shared" si="52"/>
        <v/>
      </c>
      <c r="AL306" s="145"/>
      <c r="AM306" s="28" t="str">
        <f t="shared" si="53"/>
        <v/>
      </c>
      <c r="AN306" s="140"/>
      <c r="AO306" s="28" t="str">
        <f t="shared" si="54"/>
        <v/>
      </c>
      <c r="AP306" s="140"/>
      <c r="AQ306" s="28" t="str">
        <f t="shared" si="55"/>
        <v/>
      </c>
      <c r="AR306" s="140"/>
      <c r="AS306" s="28" t="str">
        <f t="shared" si="56"/>
        <v/>
      </c>
      <c r="AT306" s="140"/>
      <c r="AU306" s="28" t="str">
        <f t="shared" si="57"/>
        <v/>
      </c>
      <c r="AV306" s="140"/>
      <c r="AW306" s="28" t="str">
        <f t="shared" si="58"/>
        <v/>
      </c>
      <c r="AX306" s="111" t="str">
        <f t="shared" si="59"/>
        <v/>
      </c>
      <c r="AY306" s="111" t="str">
        <f t="shared" si="60"/>
        <v/>
      </c>
      <c r="AZ306" s="141"/>
      <c r="BA306" s="153" t="str">
        <f t="shared" si="61"/>
        <v>Débil</v>
      </c>
      <c r="BB306" s="22" t="str">
        <f>IFERROR(VLOOKUP((CONCATENATE(AY306,BA306)),Listados!$U$3:$V$11,2,FALSE),"")</f>
        <v/>
      </c>
      <c r="BC306" s="111">
        <f t="shared" si="62"/>
        <v>100</v>
      </c>
      <c r="BD306" s="718"/>
      <c r="BE306" s="761"/>
      <c r="BF306" s="718"/>
      <c r="BG306" s="718"/>
      <c r="BH306" s="714"/>
      <c r="BI306" s="715"/>
      <c r="BJ306" s="714"/>
      <c r="BK306" s="714"/>
      <c r="BL306" s="799"/>
      <c r="BM306" s="800"/>
      <c r="BN306" s="801"/>
      <c r="BO306" s="799"/>
      <c r="BP306" s="800"/>
      <c r="BQ306" s="801"/>
      <c r="BR306" s="799"/>
      <c r="BS306" s="800"/>
      <c r="BT306" s="801"/>
    </row>
    <row r="307" spans="1:72" ht="15" thickBot="1">
      <c r="A307" s="723">
        <v>51</v>
      </c>
      <c r="B307" s="776"/>
      <c r="C307" s="729" t="str">
        <f>IFERROR(VLOOKUP(B307,Listados!B$3:C$20,2,FALSE),"")</f>
        <v/>
      </c>
      <c r="D307" s="735" t="s">
        <v>584</v>
      </c>
      <c r="E307" s="105"/>
      <c r="F307" s="18"/>
      <c r="G307" s="735"/>
      <c r="H307" s="763"/>
      <c r="I307" s="763"/>
      <c r="J307" s="763"/>
      <c r="K307" s="763"/>
      <c r="L307" s="763"/>
      <c r="M307" s="763"/>
      <c r="N307" s="763"/>
      <c r="O307" s="763"/>
      <c r="P307" s="763"/>
      <c r="Q307" s="763"/>
      <c r="R307" s="763"/>
      <c r="S307" s="763"/>
      <c r="T307" s="763"/>
      <c r="U307" s="763"/>
      <c r="V307" s="763"/>
      <c r="W307" s="763"/>
      <c r="X307" s="763"/>
      <c r="Y307" s="763"/>
      <c r="Z307" s="762"/>
      <c r="AA307" s="721">
        <f>COUNTIF(H307:Z312, "SI")</f>
        <v>0</v>
      </c>
      <c r="AB307" s="762"/>
      <c r="AC307" s="719" t="e">
        <f>+VLOOKUP(AB307,Listados!$K$8:$L$12,2,0)</f>
        <v>#N/A</v>
      </c>
      <c r="AD307" s="721" t="str">
        <f>+IF(OR(AA307=1,AA307&lt;=5),"Moderado",IF(OR(AA307=6,AA307&lt;=11),"Mayor","Catastrófico"))</f>
        <v>Moderado</v>
      </c>
      <c r="AE307" s="719" t="e">
        <f>+VLOOKUP(AD307,Listados!K313:L317,2,0)</f>
        <v>#N/A</v>
      </c>
      <c r="AF307" s="714" t="str">
        <f>IF(AND(AB307&lt;&gt;"",AD307&lt;&gt;""),VLOOKUP(AB307&amp;AD307,Listados!$M$3:$N$27,2,FALSE),"")</f>
        <v/>
      </c>
      <c r="AG307" s="52" t="s">
        <v>467</v>
      </c>
      <c r="AH307" s="145"/>
      <c r="AI307" s="145"/>
      <c r="AJ307" s="145"/>
      <c r="AK307" s="28" t="str">
        <f t="shared" si="52"/>
        <v/>
      </c>
      <c r="AL307" s="145"/>
      <c r="AM307" s="28" t="str">
        <f t="shared" si="53"/>
        <v/>
      </c>
      <c r="AN307" s="140"/>
      <c r="AO307" s="28" t="str">
        <f t="shared" si="54"/>
        <v/>
      </c>
      <c r="AP307" s="140"/>
      <c r="AQ307" s="28" t="str">
        <f t="shared" si="55"/>
        <v/>
      </c>
      <c r="AR307" s="140"/>
      <c r="AS307" s="28" t="str">
        <f t="shared" si="56"/>
        <v/>
      </c>
      <c r="AT307" s="140"/>
      <c r="AU307" s="28" t="str">
        <f t="shared" si="57"/>
        <v/>
      </c>
      <c r="AV307" s="140"/>
      <c r="AW307" s="28" t="str">
        <f t="shared" si="58"/>
        <v/>
      </c>
      <c r="AX307" s="111" t="str">
        <f t="shared" si="59"/>
        <v/>
      </c>
      <c r="AY307" s="111" t="str">
        <f t="shared" si="60"/>
        <v/>
      </c>
      <c r="AZ307" s="141"/>
      <c r="BA307" s="153" t="str">
        <f t="shared" si="61"/>
        <v>Débil</v>
      </c>
      <c r="BB307" s="22" t="str">
        <f>IFERROR(VLOOKUP((CONCATENATE(AY307,BA307)),Listados!$U$3:$V$11,2,FALSE),"")</f>
        <v/>
      </c>
      <c r="BC307" s="111">
        <f t="shared" si="62"/>
        <v>100</v>
      </c>
      <c r="BD307" s="716">
        <f>AVERAGE(BC307:BC312)</f>
        <v>100</v>
      </c>
      <c r="BE307" s="718" t="str">
        <f>IF(BD307&lt;=50, "Débil", IF(BD307&lt;=99,"Moderado","Fuerte"))</f>
        <v>Fuerte</v>
      </c>
      <c r="BF307" s="716">
        <f>+IF(BE307="Fuerte",2,IF(BE307="Moderado",1,0))</f>
        <v>2</v>
      </c>
      <c r="BG307" s="716" t="e">
        <f>+AC307-BF307</f>
        <v>#N/A</v>
      </c>
      <c r="BH307" s="712" t="e">
        <f>+VLOOKUP(BG307,Listados!$J$18:$K$24,2,TRUE)</f>
        <v>#N/A</v>
      </c>
      <c r="BI307" s="714" t="str">
        <f>IF(ISBLANK(AD307),"",AD307)</f>
        <v>Moderado</v>
      </c>
      <c r="BJ307" s="712" t="e">
        <f>IF(AND(BH307&lt;&gt;"",BI307&lt;&gt;""),VLOOKUP(BH307&amp;BI307,Listados!$M$3:$N$27,2,FALSE),"")</f>
        <v>#N/A</v>
      </c>
      <c r="BK307" s="712" t="e">
        <f>+VLOOKUP(BJ307,Listados!$P$3:$Q$6,2,FALSE)</f>
        <v>#N/A</v>
      </c>
      <c r="BL307" s="799"/>
      <c r="BM307" s="800"/>
      <c r="BN307" s="801"/>
      <c r="BO307" s="799"/>
      <c r="BP307" s="800"/>
      <c r="BQ307" s="801"/>
      <c r="BR307" s="799"/>
      <c r="BS307" s="800"/>
      <c r="BT307" s="801"/>
    </row>
    <row r="308" spans="1:72" ht="15" thickBot="1">
      <c r="A308" s="724"/>
      <c r="B308" s="777"/>
      <c r="C308" s="730"/>
      <c r="D308" s="736"/>
      <c r="E308" s="161"/>
      <c r="F308" s="150"/>
      <c r="G308" s="736"/>
      <c r="H308" s="764"/>
      <c r="I308" s="764"/>
      <c r="J308" s="764"/>
      <c r="K308" s="764"/>
      <c r="L308" s="764"/>
      <c r="M308" s="764"/>
      <c r="N308" s="764"/>
      <c r="O308" s="764"/>
      <c r="P308" s="764"/>
      <c r="Q308" s="764"/>
      <c r="R308" s="764"/>
      <c r="S308" s="764"/>
      <c r="T308" s="764"/>
      <c r="U308" s="764"/>
      <c r="V308" s="764"/>
      <c r="W308" s="764"/>
      <c r="X308" s="764"/>
      <c r="Y308" s="764"/>
      <c r="Z308" s="727"/>
      <c r="AA308" s="722"/>
      <c r="AB308" s="727"/>
      <c r="AC308" s="720"/>
      <c r="AD308" s="722" t="str">
        <f>+IF(OR(AB308=1,AB308&lt;=5),"Moderado",IF(OR(AB308=6,AB308&lt;=11),"Mayor","Catastrófico"))</f>
        <v>Moderado</v>
      </c>
      <c r="AE308" s="720"/>
      <c r="AF308" s="715"/>
      <c r="AG308" s="52" t="s">
        <v>467</v>
      </c>
      <c r="AH308" s="145"/>
      <c r="AI308" s="145"/>
      <c r="AJ308" s="145"/>
      <c r="AK308" s="28" t="str">
        <f t="shared" si="52"/>
        <v/>
      </c>
      <c r="AL308" s="145"/>
      <c r="AM308" s="28" t="str">
        <f t="shared" si="53"/>
        <v/>
      </c>
      <c r="AN308" s="140"/>
      <c r="AO308" s="28" t="str">
        <f t="shared" si="54"/>
        <v/>
      </c>
      <c r="AP308" s="140"/>
      <c r="AQ308" s="28" t="str">
        <f t="shared" si="55"/>
        <v/>
      </c>
      <c r="AR308" s="140"/>
      <c r="AS308" s="28" t="str">
        <f t="shared" si="56"/>
        <v/>
      </c>
      <c r="AT308" s="140"/>
      <c r="AU308" s="28" t="str">
        <f t="shared" si="57"/>
        <v/>
      </c>
      <c r="AV308" s="140"/>
      <c r="AW308" s="28" t="str">
        <f t="shared" si="58"/>
        <v/>
      </c>
      <c r="AX308" s="111" t="str">
        <f t="shared" si="59"/>
        <v/>
      </c>
      <c r="AY308" s="111" t="str">
        <f t="shared" si="60"/>
        <v/>
      </c>
      <c r="AZ308" s="141"/>
      <c r="BA308" s="153" t="str">
        <f t="shared" si="61"/>
        <v>Débil</v>
      </c>
      <c r="BB308" s="22" t="str">
        <f>IFERROR(VLOOKUP((CONCATENATE(AY308,BA308)),Listados!$U$3:$V$11,2,FALSE),"")</f>
        <v/>
      </c>
      <c r="BC308" s="111">
        <f t="shared" si="62"/>
        <v>100</v>
      </c>
      <c r="BD308" s="717"/>
      <c r="BE308" s="761"/>
      <c r="BF308" s="717"/>
      <c r="BG308" s="717"/>
      <c r="BH308" s="713"/>
      <c r="BI308" s="715"/>
      <c r="BJ308" s="713"/>
      <c r="BK308" s="713"/>
      <c r="BL308" s="799"/>
      <c r="BM308" s="800"/>
      <c r="BN308" s="801"/>
      <c r="BO308" s="799"/>
      <c r="BP308" s="800"/>
      <c r="BQ308" s="801"/>
      <c r="BR308" s="799"/>
      <c r="BS308" s="800"/>
      <c r="BT308" s="801"/>
    </row>
    <row r="309" spans="1:72" ht="15" thickBot="1">
      <c r="A309" s="724"/>
      <c r="B309" s="777"/>
      <c r="C309" s="730"/>
      <c r="D309" s="736"/>
      <c r="E309" s="161"/>
      <c r="F309" s="150"/>
      <c r="G309" s="736"/>
      <c r="H309" s="764"/>
      <c r="I309" s="764"/>
      <c r="J309" s="764"/>
      <c r="K309" s="764"/>
      <c r="L309" s="764"/>
      <c r="M309" s="764"/>
      <c r="N309" s="764"/>
      <c r="O309" s="764"/>
      <c r="P309" s="764"/>
      <c r="Q309" s="764"/>
      <c r="R309" s="764"/>
      <c r="S309" s="764"/>
      <c r="T309" s="764"/>
      <c r="U309" s="764"/>
      <c r="V309" s="764"/>
      <c r="W309" s="764"/>
      <c r="X309" s="764"/>
      <c r="Y309" s="764"/>
      <c r="Z309" s="727"/>
      <c r="AA309" s="722"/>
      <c r="AB309" s="727"/>
      <c r="AC309" s="720"/>
      <c r="AD309" s="722" t="str">
        <f>+IF(OR(AB309=1,AB309&lt;=5),"Moderado",IF(OR(AB309=6,AB309&lt;=11),"Mayor","Catastrófico"))</f>
        <v>Moderado</v>
      </c>
      <c r="AE309" s="720"/>
      <c r="AF309" s="715"/>
      <c r="AG309" s="52" t="s">
        <v>467</v>
      </c>
      <c r="AH309" s="145"/>
      <c r="AI309" s="145"/>
      <c r="AJ309" s="145"/>
      <c r="AK309" s="28" t="str">
        <f t="shared" si="52"/>
        <v/>
      </c>
      <c r="AL309" s="145"/>
      <c r="AM309" s="28" t="str">
        <f t="shared" si="53"/>
        <v/>
      </c>
      <c r="AN309" s="140"/>
      <c r="AO309" s="28" t="str">
        <f t="shared" si="54"/>
        <v/>
      </c>
      <c r="AP309" s="140"/>
      <c r="AQ309" s="28" t="str">
        <f t="shared" si="55"/>
        <v/>
      </c>
      <c r="AR309" s="140"/>
      <c r="AS309" s="28" t="str">
        <f t="shared" si="56"/>
        <v/>
      </c>
      <c r="AT309" s="140"/>
      <c r="AU309" s="28" t="str">
        <f t="shared" si="57"/>
        <v/>
      </c>
      <c r="AV309" s="140"/>
      <c r="AW309" s="28" t="str">
        <f t="shared" si="58"/>
        <v/>
      </c>
      <c r="AX309" s="111" t="str">
        <f t="shared" si="59"/>
        <v/>
      </c>
      <c r="AY309" s="111" t="str">
        <f t="shared" si="60"/>
        <v/>
      </c>
      <c r="AZ309" s="141"/>
      <c r="BA309" s="153" t="str">
        <f t="shared" si="61"/>
        <v>Débil</v>
      </c>
      <c r="BB309" s="22" t="str">
        <f>IFERROR(VLOOKUP((CONCATENATE(AY309,BA309)),Listados!$U$3:$V$11,2,FALSE),"")</f>
        <v/>
      </c>
      <c r="BC309" s="111">
        <f t="shared" si="62"/>
        <v>100</v>
      </c>
      <c r="BD309" s="717"/>
      <c r="BE309" s="761"/>
      <c r="BF309" s="717"/>
      <c r="BG309" s="717"/>
      <c r="BH309" s="713"/>
      <c r="BI309" s="715"/>
      <c r="BJ309" s="713"/>
      <c r="BK309" s="713"/>
      <c r="BL309" s="799"/>
      <c r="BM309" s="800"/>
      <c r="BN309" s="801"/>
      <c r="BO309" s="799"/>
      <c r="BP309" s="800"/>
      <c r="BQ309" s="801"/>
      <c r="BR309" s="799"/>
      <c r="BS309" s="800"/>
      <c r="BT309" s="801"/>
    </row>
    <row r="310" spans="1:72" ht="15" thickBot="1">
      <c r="A310" s="724"/>
      <c r="B310" s="777"/>
      <c r="C310" s="730"/>
      <c r="D310" s="736"/>
      <c r="E310" s="755"/>
      <c r="F310" s="769"/>
      <c r="G310" s="736"/>
      <c r="H310" s="764"/>
      <c r="I310" s="764"/>
      <c r="J310" s="764"/>
      <c r="K310" s="764"/>
      <c r="L310" s="764"/>
      <c r="M310" s="764"/>
      <c r="N310" s="764"/>
      <c r="O310" s="764"/>
      <c r="P310" s="764"/>
      <c r="Q310" s="764"/>
      <c r="R310" s="764"/>
      <c r="S310" s="764"/>
      <c r="T310" s="764"/>
      <c r="U310" s="764"/>
      <c r="V310" s="764"/>
      <c r="W310" s="764"/>
      <c r="X310" s="764"/>
      <c r="Y310" s="764"/>
      <c r="Z310" s="727"/>
      <c r="AA310" s="722"/>
      <c r="AB310" s="727"/>
      <c r="AC310" s="720"/>
      <c r="AD310" s="722" t="str">
        <f>+IF(OR(AB310=1,AB310&lt;=5),"Moderado",IF(OR(AB310=6,AB310&lt;=11),"Mayor","Catastrófico"))</f>
        <v>Moderado</v>
      </c>
      <c r="AE310" s="720"/>
      <c r="AF310" s="715"/>
      <c r="AG310" s="52" t="s">
        <v>467</v>
      </c>
      <c r="AH310" s="145"/>
      <c r="AI310" s="145"/>
      <c r="AJ310" s="145"/>
      <c r="AK310" s="28" t="str">
        <f t="shared" si="52"/>
        <v/>
      </c>
      <c r="AL310" s="145"/>
      <c r="AM310" s="28" t="str">
        <f t="shared" si="53"/>
        <v/>
      </c>
      <c r="AN310" s="140"/>
      <c r="AO310" s="28" t="str">
        <f t="shared" si="54"/>
        <v/>
      </c>
      <c r="AP310" s="140"/>
      <c r="AQ310" s="28" t="str">
        <f t="shared" si="55"/>
        <v/>
      </c>
      <c r="AR310" s="140"/>
      <c r="AS310" s="28" t="str">
        <f t="shared" si="56"/>
        <v/>
      </c>
      <c r="AT310" s="140"/>
      <c r="AU310" s="28" t="str">
        <f t="shared" si="57"/>
        <v/>
      </c>
      <c r="AV310" s="140"/>
      <c r="AW310" s="28" t="str">
        <f t="shared" si="58"/>
        <v/>
      </c>
      <c r="AX310" s="111" t="str">
        <f t="shared" si="59"/>
        <v/>
      </c>
      <c r="AY310" s="111" t="str">
        <f t="shared" si="60"/>
        <v/>
      </c>
      <c r="AZ310" s="141"/>
      <c r="BA310" s="153" t="str">
        <f t="shared" si="61"/>
        <v>Débil</v>
      </c>
      <c r="BB310" s="22" t="str">
        <f>IFERROR(VLOOKUP((CONCATENATE(AY310,BA310)),Listados!$U$3:$V$11,2,FALSE),"")</f>
        <v/>
      </c>
      <c r="BC310" s="111">
        <f t="shared" si="62"/>
        <v>100</v>
      </c>
      <c r="BD310" s="717"/>
      <c r="BE310" s="761"/>
      <c r="BF310" s="717"/>
      <c r="BG310" s="717"/>
      <c r="BH310" s="713"/>
      <c r="BI310" s="715"/>
      <c r="BJ310" s="713"/>
      <c r="BK310" s="713"/>
      <c r="BL310" s="799"/>
      <c r="BM310" s="800"/>
      <c r="BN310" s="801"/>
      <c r="BO310" s="799"/>
      <c r="BP310" s="800"/>
      <c r="BQ310" s="801"/>
      <c r="BR310" s="799"/>
      <c r="BS310" s="800"/>
      <c r="BT310" s="801"/>
    </row>
    <row r="311" spans="1:72" ht="15" thickBot="1">
      <c r="A311" s="724"/>
      <c r="B311" s="777"/>
      <c r="C311" s="730"/>
      <c r="D311" s="736"/>
      <c r="E311" s="756"/>
      <c r="F311" s="770"/>
      <c r="G311" s="736"/>
      <c r="H311" s="764"/>
      <c r="I311" s="764"/>
      <c r="J311" s="764"/>
      <c r="K311" s="764"/>
      <c r="L311" s="764"/>
      <c r="M311" s="764"/>
      <c r="N311" s="764"/>
      <c r="O311" s="764"/>
      <c r="P311" s="764"/>
      <c r="Q311" s="764"/>
      <c r="R311" s="764"/>
      <c r="S311" s="764"/>
      <c r="T311" s="764"/>
      <c r="U311" s="764"/>
      <c r="V311" s="764"/>
      <c r="W311" s="764"/>
      <c r="X311" s="764"/>
      <c r="Y311" s="764"/>
      <c r="Z311" s="727"/>
      <c r="AA311" s="722"/>
      <c r="AB311" s="727"/>
      <c r="AC311" s="720"/>
      <c r="AD311" s="722" t="str">
        <f>+IF(OR(AB311=1,AB311&lt;=5),"Moderado",IF(OR(AB311=6,AB311&lt;=11),"Mayor","Catastrófico"))</f>
        <v>Moderado</v>
      </c>
      <c r="AE311" s="720"/>
      <c r="AF311" s="715"/>
      <c r="AG311" s="52" t="s">
        <v>467</v>
      </c>
      <c r="AH311" s="145"/>
      <c r="AI311" s="145"/>
      <c r="AJ311" s="145"/>
      <c r="AK311" s="28" t="str">
        <f t="shared" si="52"/>
        <v/>
      </c>
      <c r="AL311" s="145"/>
      <c r="AM311" s="28" t="str">
        <f t="shared" si="53"/>
        <v/>
      </c>
      <c r="AN311" s="140"/>
      <c r="AO311" s="28" t="str">
        <f t="shared" si="54"/>
        <v/>
      </c>
      <c r="AP311" s="140"/>
      <c r="AQ311" s="28" t="str">
        <f t="shared" si="55"/>
        <v/>
      </c>
      <c r="AR311" s="140"/>
      <c r="AS311" s="28" t="str">
        <f t="shared" si="56"/>
        <v/>
      </c>
      <c r="AT311" s="140"/>
      <c r="AU311" s="28" t="str">
        <f t="shared" si="57"/>
        <v/>
      </c>
      <c r="AV311" s="140"/>
      <c r="AW311" s="28" t="str">
        <f t="shared" si="58"/>
        <v/>
      </c>
      <c r="AX311" s="111" t="str">
        <f t="shared" si="59"/>
        <v/>
      </c>
      <c r="AY311" s="111" t="str">
        <f t="shared" si="60"/>
        <v/>
      </c>
      <c r="AZ311" s="141"/>
      <c r="BA311" s="153" t="str">
        <f t="shared" si="61"/>
        <v>Débil</v>
      </c>
      <c r="BB311" s="22" t="str">
        <f>IFERROR(VLOOKUP((CONCATENATE(AY311,BA311)),Listados!$U$3:$V$11,2,FALSE),"")</f>
        <v/>
      </c>
      <c r="BC311" s="111">
        <f t="shared" si="62"/>
        <v>100</v>
      </c>
      <c r="BD311" s="717"/>
      <c r="BE311" s="761"/>
      <c r="BF311" s="717"/>
      <c r="BG311" s="717"/>
      <c r="BH311" s="713"/>
      <c r="BI311" s="715"/>
      <c r="BJ311" s="713"/>
      <c r="BK311" s="713"/>
      <c r="BL311" s="799"/>
      <c r="BM311" s="800"/>
      <c r="BN311" s="801"/>
      <c r="BO311" s="799"/>
      <c r="BP311" s="800"/>
      <c r="BQ311" s="801"/>
      <c r="BR311" s="799"/>
      <c r="BS311" s="800"/>
      <c r="BT311" s="801"/>
    </row>
    <row r="312" spans="1:72" ht="15" thickBot="1">
      <c r="A312" s="725"/>
      <c r="B312" s="777"/>
      <c r="C312" s="731"/>
      <c r="D312" s="781"/>
      <c r="E312" s="757"/>
      <c r="F312" s="771"/>
      <c r="G312" s="736"/>
      <c r="H312" s="764"/>
      <c r="I312" s="764"/>
      <c r="J312" s="764"/>
      <c r="K312" s="764"/>
      <c r="L312" s="764"/>
      <c r="M312" s="764"/>
      <c r="N312" s="764"/>
      <c r="O312" s="764"/>
      <c r="P312" s="764"/>
      <c r="Q312" s="764"/>
      <c r="R312" s="764"/>
      <c r="S312" s="764"/>
      <c r="T312" s="764"/>
      <c r="U312" s="764"/>
      <c r="V312" s="764"/>
      <c r="W312" s="764"/>
      <c r="X312" s="764"/>
      <c r="Y312" s="764"/>
      <c r="Z312" s="727"/>
      <c r="AA312" s="722"/>
      <c r="AB312" s="727"/>
      <c r="AC312" s="721"/>
      <c r="AD312" s="722" t="str">
        <f>+IF(OR(AB312=1,AB312&lt;=5),"Moderado",IF(OR(AB312=6,AB312&lt;=11),"Mayor","Catastrófico"))</f>
        <v>Moderado</v>
      </c>
      <c r="AE312" s="721"/>
      <c r="AF312" s="715"/>
      <c r="AG312" s="52" t="s">
        <v>467</v>
      </c>
      <c r="AH312" s="145"/>
      <c r="AI312" s="145"/>
      <c r="AJ312" s="145"/>
      <c r="AK312" s="28" t="str">
        <f t="shared" si="52"/>
        <v/>
      </c>
      <c r="AL312" s="145"/>
      <c r="AM312" s="28" t="str">
        <f t="shared" si="53"/>
        <v/>
      </c>
      <c r="AN312" s="140"/>
      <c r="AO312" s="28" t="str">
        <f t="shared" si="54"/>
        <v/>
      </c>
      <c r="AP312" s="140"/>
      <c r="AQ312" s="28" t="str">
        <f t="shared" si="55"/>
        <v/>
      </c>
      <c r="AR312" s="140"/>
      <c r="AS312" s="28" t="str">
        <f t="shared" si="56"/>
        <v/>
      </c>
      <c r="AT312" s="140"/>
      <c r="AU312" s="28" t="str">
        <f t="shared" si="57"/>
        <v/>
      </c>
      <c r="AV312" s="140"/>
      <c r="AW312" s="28" t="str">
        <f t="shared" si="58"/>
        <v/>
      </c>
      <c r="AX312" s="111" t="str">
        <f t="shared" si="59"/>
        <v/>
      </c>
      <c r="AY312" s="111" t="str">
        <f t="shared" si="60"/>
        <v/>
      </c>
      <c r="AZ312" s="141"/>
      <c r="BA312" s="153" t="str">
        <f t="shared" si="61"/>
        <v>Débil</v>
      </c>
      <c r="BB312" s="22" t="str">
        <f>IFERROR(VLOOKUP((CONCATENATE(AY312,BA312)),Listados!$U$3:$V$11,2,FALSE),"")</f>
        <v/>
      </c>
      <c r="BC312" s="111">
        <f t="shared" si="62"/>
        <v>100</v>
      </c>
      <c r="BD312" s="718"/>
      <c r="BE312" s="761"/>
      <c r="BF312" s="718"/>
      <c r="BG312" s="718"/>
      <c r="BH312" s="714"/>
      <c r="BI312" s="715"/>
      <c r="BJ312" s="714"/>
      <c r="BK312" s="714"/>
      <c r="BL312" s="799"/>
      <c r="BM312" s="800"/>
      <c r="BN312" s="801"/>
      <c r="BO312" s="799"/>
      <c r="BP312" s="800"/>
      <c r="BQ312" s="801"/>
      <c r="BR312" s="799"/>
      <c r="BS312" s="800"/>
      <c r="BT312" s="801"/>
    </row>
    <row r="313" spans="1:72" ht="15" thickBot="1">
      <c r="A313" s="723">
        <v>52</v>
      </c>
      <c r="B313" s="776"/>
      <c r="C313" s="729" t="str">
        <f>IFERROR(VLOOKUP(B313,Listados!B$3:C$20,2,FALSE),"")</f>
        <v/>
      </c>
      <c r="D313" s="735" t="s">
        <v>584</v>
      </c>
      <c r="E313" s="105"/>
      <c r="F313" s="18"/>
      <c r="G313" s="735"/>
      <c r="H313" s="763"/>
      <c r="I313" s="763"/>
      <c r="J313" s="763"/>
      <c r="K313" s="763"/>
      <c r="L313" s="763"/>
      <c r="M313" s="763"/>
      <c r="N313" s="763"/>
      <c r="O313" s="763"/>
      <c r="P313" s="763"/>
      <c r="Q313" s="763"/>
      <c r="R313" s="763"/>
      <c r="S313" s="763"/>
      <c r="T313" s="763"/>
      <c r="U313" s="763"/>
      <c r="V313" s="763"/>
      <c r="W313" s="763"/>
      <c r="X313" s="763"/>
      <c r="Y313" s="763"/>
      <c r="Z313" s="762"/>
      <c r="AA313" s="721">
        <f>COUNTIF(H313:Z318, "SI")</f>
        <v>0</v>
      </c>
      <c r="AB313" s="762"/>
      <c r="AC313" s="719" t="e">
        <f>+VLOOKUP(AB313,Listados!$K$8:$L$12,2,0)</f>
        <v>#N/A</v>
      </c>
      <c r="AD313" s="721" t="str">
        <f>+IF(OR(AA313=1,AA313&lt;=5),"Moderado",IF(OR(AA313=6,AA313&lt;=11),"Mayor","Catastrófico"))</f>
        <v>Moderado</v>
      </c>
      <c r="AE313" s="719" t="e">
        <f>+VLOOKUP(AD313,Listados!K319:L323,2,0)</f>
        <v>#N/A</v>
      </c>
      <c r="AF313" s="714" t="str">
        <f>IF(AND(AB313&lt;&gt;"",AD313&lt;&gt;""),VLOOKUP(AB313&amp;AD313,Listados!$M$3:$N$27,2,FALSE),"")</f>
        <v/>
      </c>
      <c r="AG313" s="52" t="s">
        <v>467</v>
      </c>
      <c r="AH313" s="145"/>
      <c r="AI313" s="145"/>
      <c r="AJ313" s="145"/>
      <c r="AK313" s="28" t="str">
        <f t="shared" si="52"/>
        <v/>
      </c>
      <c r="AL313" s="145"/>
      <c r="AM313" s="28" t="str">
        <f t="shared" si="53"/>
        <v/>
      </c>
      <c r="AN313" s="140"/>
      <c r="AO313" s="28" t="str">
        <f t="shared" si="54"/>
        <v/>
      </c>
      <c r="AP313" s="140"/>
      <c r="AQ313" s="28" t="str">
        <f t="shared" si="55"/>
        <v/>
      </c>
      <c r="AR313" s="140"/>
      <c r="AS313" s="28" t="str">
        <f t="shared" si="56"/>
        <v/>
      </c>
      <c r="AT313" s="140"/>
      <c r="AU313" s="28" t="str">
        <f t="shared" si="57"/>
        <v/>
      </c>
      <c r="AV313" s="140"/>
      <c r="AW313" s="28" t="str">
        <f t="shared" si="58"/>
        <v/>
      </c>
      <c r="AX313" s="111" t="str">
        <f t="shared" si="59"/>
        <v/>
      </c>
      <c r="AY313" s="111" t="str">
        <f t="shared" si="60"/>
        <v/>
      </c>
      <c r="AZ313" s="141"/>
      <c r="BA313" s="153" t="str">
        <f t="shared" si="61"/>
        <v>Débil</v>
      </c>
      <c r="BB313" s="22" t="str">
        <f>IFERROR(VLOOKUP((CONCATENATE(AY313,BA313)),Listados!$U$3:$V$11,2,FALSE),"")</f>
        <v/>
      </c>
      <c r="BC313" s="111">
        <f t="shared" si="62"/>
        <v>100</v>
      </c>
      <c r="BD313" s="716">
        <f>AVERAGE(BC313:BC318)</f>
        <v>100</v>
      </c>
      <c r="BE313" s="718" t="str">
        <f>IF(BD313&lt;=50, "Débil", IF(BD313&lt;=99,"Moderado","Fuerte"))</f>
        <v>Fuerte</v>
      </c>
      <c r="BF313" s="716">
        <f>+IF(BE313="Fuerte",2,IF(BE313="Moderado",1,0))</f>
        <v>2</v>
      </c>
      <c r="BG313" s="716" t="e">
        <f>+AC313-BF313</f>
        <v>#N/A</v>
      </c>
      <c r="BH313" s="712" t="e">
        <f>+VLOOKUP(BG313,Listados!$J$18:$K$24,2,TRUE)</f>
        <v>#N/A</v>
      </c>
      <c r="BI313" s="714" t="str">
        <f>IF(ISBLANK(AD313),"",AD313)</f>
        <v>Moderado</v>
      </c>
      <c r="BJ313" s="712" t="e">
        <f>IF(AND(BH313&lt;&gt;"",BI313&lt;&gt;""),VLOOKUP(BH313&amp;BI313,Listados!$M$3:$N$27,2,FALSE),"")</f>
        <v>#N/A</v>
      </c>
      <c r="BK313" s="712" t="e">
        <f>+VLOOKUP(BJ313,Listados!$P$3:$Q$6,2,FALSE)</f>
        <v>#N/A</v>
      </c>
      <c r="BL313" s="799"/>
      <c r="BM313" s="800"/>
      <c r="BN313" s="801"/>
      <c r="BO313" s="799"/>
      <c r="BP313" s="800"/>
      <c r="BQ313" s="801"/>
      <c r="BR313" s="799"/>
      <c r="BS313" s="800"/>
      <c r="BT313" s="801"/>
    </row>
    <row r="314" spans="1:72" ht="15" thickBot="1">
      <c r="A314" s="724"/>
      <c r="B314" s="777"/>
      <c r="C314" s="730"/>
      <c r="D314" s="736"/>
      <c r="E314" s="161"/>
      <c r="F314" s="150"/>
      <c r="G314" s="736"/>
      <c r="H314" s="764"/>
      <c r="I314" s="764"/>
      <c r="J314" s="764"/>
      <c r="K314" s="764"/>
      <c r="L314" s="764"/>
      <c r="M314" s="764"/>
      <c r="N314" s="764"/>
      <c r="O314" s="764"/>
      <c r="P314" s="764"/>
      <c r="Q314" s="764"/>
      <c r="R314" s="764"/>
      <c r="S314" s="764"/>
      <c r="T314" s="764"/>
      <c r="U314" s="764"/>
      <c r="V314" s="764"/>
      <c r="W314" s="764"/>
      <c r="X314" s="764"/>
      <c r="Y314" s="764"/>
      <c r="Z314" s="727"/>
      <c r="AA314" s="722"/>
      <c r="AB314" s="727"/>
      <c r="AC314" s="720"/>
      <c r="AD314" s="722" t="str">
        <f>+IF(OR(AB314=1,AB314&lt;=5),"Moderado",IF(OR(AB314=6,AB314&lt;=11),"Mayor","Catastrófico"))</f>
        <v>Moderado</v>
      </c>
      <c r="AE314" s="720"/>
      <c r="AF314" s="715"/>
      <c r="AG314" s="52" t="s">
        <v>467</v>
      </c>
      <c r="AH314" s="145"/>
      <c r="AI314" s="145"/>
      <c r="AJ314" s="145"/>
      <c r="AK314" s="28" t="str">
        <f t="shared" si="52"/>
        <v/>
      </c>
      <c r="AL314" s="145"/>
      <c r="AM314" s="28" t="str">
        <f t="shared" si="53"/>
        <v/>
      </c>
      <c r="AN314" s="140"/>
      <c r="AO314" s="28" t="str">
        <f t="shared" si="54"/>
        <v/>
      </c>
      <c r="AP314" s="140"/>
      <c r="AQ314" s="28" t="str">
        <f t="shared" si="55"/>
        <v/>
      </c>
      <c r="AR314" s="140"/>
      <c r="AS314" s="28" t="str">
        <f t="shared" si="56"/>
        <v/>
      </c>
      <c r="AT314" s="140"/>
      <c r="AU314" s="28" t="str">
        <f t="shared" si="57"/>
        <v/>
      </c>
      <c r="AV314" s="140"/>
      <c r="AW314" s="28" t="str">
        <f t="shared" si="58"/>
        <v/>
      </c>
      <c r="AX314" s="111" t="str">
        <f t="shared" si="59"/>
        <v/>
      </c>
      <c r="AY314" s="111" t="str">
        <f t="shared" si="60"/>
        <v/>
      </c>
      <c r="AZ314" s="141"/>
      <c r="BA314" s="153" t="str">
        <f t="shared" si="61"/>
        <v>Débil</v>
      </c>
      <c r="BB314" s="22" t="str">
        <f>IFERROR(VLOOKUP((CONCATENATE(AY314,BA314)),Listados!$U$3:$V$11,2,FALSE),"")</f>
        <v/>
      </c>
      <c r="BC314" s="111">
        <f t="shared" si="62"/>
        <v>100</v>
      </c>
      <c r="BD314" s="717"/>
      <c r="BE314" s="761"/>
      <c r="BF314" s="717"/>
      <c r="BG314" s="717"/>
      <c r="BH314" s="713"/>
      <c r="BI314" s="715"/>
      <c r="BJ314" s="713"/>
      <c r="BK314" s="713"/>
      <c r="BL314" s="799"/>
      <c r="BM314" s="800"/>
      <c r="BN314" s="801"/>
      <c r="BO314" s="799"/>
      <c r="BP314" s="800"/>
      <c r="BQ314" s="801"/>
      <c r="BR314" s="799"/>
      <c r="BS314" s="800"/>
      <c r="BT314" s="801"/>
    </row>
    <row r="315" spans="1:72" ht="15" thickBot="1">
      <c r="A315" s="724"/>
      <c r="B315" s="777"/>
      <c r="C315" s="730"/>
      <c r="D315" s="736"/>
      <c r="E315" s="161"/>
      <c r="F315" s="150"/>
      <c r="G315" s="736"/>
      <c r="H315" s="764"/>
      <c r="I315" s="764"/>
      <c r="J315" s="764"/>
      <c r="K315" s="764"/>
      <c r="L315" s="764"/>
      <c r="M315" s="764"/>
      <c r="N315" s="764"/>
      <c r="O315" s="764"/>
      <c r="P315" s="764"/>
      <c r="Q315" s="764"/>
      <c r="R315" s="764"/>
      <c r="S315" s="764"/>
      <c r="T315" s="764"/>
      <c r="U315" s="764"/>
      <c r="V315" s="764"/>
      <c r="W315" s="764"/>
      <c r="X315" s="764"/>
      <c r="Y315" s="764"/>
      <c r="Z315" s="727"/>
      <c r="AA315" s="722"/>
      <c r="AB315" s="727"/>
      <c r="AC315" s="720"/>
      <c r="AD315" s="722" t="str">
        <f>+IF(OR(AB315=1,AB315&lt;=5),"Moderado",IF(OR(AB315=6,AB315&lt;=11),"Mayor","Catastrófico"))</f>
        <v>Moderado</v>
      </c>
      <c r="AE315" s="720"/>
      <c r="AF315" s="715"/>
      <c r="AG315" s="52" t="s">
        <v>467</v>
      </c>
      <c r="AH315" s="145"/>
      <c r="AI315" s="145"/>
      <c r="AJ315" s="145"/>
      <c r="AK315" s="28" t="str">
        <f t="shared" si="52"/>
        <v/>
      </c>
      <c r="AL315" s="145"/>
      <c r="AM315" s="28" t="str">
        <f t="shared" si="53"/>
        <v/>
      </c>
      <c r="AN315" s="140"/>
      <c r="AO315" s="28" t="str">
        <f t="shared" si="54"/>
        <v/>
      </c>
      <c r="AP315" s="140"/>
      <c r="AQ315" s="28" t="str">
        <f t="shared" si="55"/>
        <v/>
      </c>
      <c r="AR315" s="140"/>
      <c r="AS315" s="28" t="str">
        <f t="shared" si="56"/>
        <v/>
      </c>
      <c r="AT315" s="140"/>
      <c r="AU315" s="28" t="str">
        <f t="shared" si="57"/>
        <v/>
      </c>
      <c r="AV315" s="140"/>
      <c r="AW315" s="28" t="str">
        <f t="shared" si="58"/>
        <v/>
      </c>
      <c r="AX315" s="111" t="str">
        <f t="shared" si="59"/>
        <v/>
      </c>
      <c r="AY315" s="111" t="str">
        <f t="shared" si="60"/>
        <v/>
      </c>
      <c r="AZ315" s="141"/>
      <c r="BA315" s="153" t="str">
        <f t="shared" si="61"/>
        <v>Débil</v>
      </c>
      <c r="BB315" s="22" t="str">
        <f>IFERROR(VLOOKUP((CONCATENATE(AY315,BA315)),Listados!$U$3:$V$11,2,FALSE),"")</f>
        <v/>
      </c>
      <c r="BC315" s="111">
        <f t="shared" si="62"/>
        <v>100</v>
      </c>
      <c r="BD315" s="717"/>
      <c r="BE315" s="761"/>
      <c r="BF315" s="717"/>
      <c r="BG315" s="717"/>
      <c r="BH315" s="713"/>
      <c r="BI315" s="715"/>
      <c r="BJ315" s="713"/>
      <c r="BK315" s="713"/>
      <c r="BL315" s="799"/>
      <c r="BM315" s="800"/>
      <c r="BN315" s="801"/>
      <c r="BO315" s="799"/>
      <c r="BP315" s="800"/>
      <c r="BQ315" s="801"/>
      <c r="BR315" s="799"/>
      <c r="BS315" s="800"/>
      <c r="BT315" s="801"/>
    </row>
    <row r="316" spans="1:72" ht="15" thickBot="1">
      <c r="A316" s="724"/>
      <c r="B316" s="777"/>
      <c r="C316" s="730"/>
      <c r="D316" s="736"/>
      <c r="E316" s="755"/>
      <c r="F316" s="769"/>
      <c r="G316" s="736"/>
      <c r="H316" s="764"/>
      <c r="I316" s="764"/>
      <c r="J316" s="764"/>
      <c r="K316" s="764"/>
      <c r="L316" s="764"/>
      <c r="M316" s="764"/>
      <c r="N316" s="764"/>
      <c r="O316" s="764"/>
      <c r="P316" s="764"/>
      <c r="Q316" s="764"/>
      <c r="R316" s="764"/>
      <c r="S316" s="764"/>
      <c r="T316" s="764"/>
      <c r="U316" s="764"/>
      <c r="V316" s="764"/>
      <c r="W316" s="764"/>
      <c r="X316" s="764"/>
      <c r="Y316" s="764"/>
      <c r="Z316" s="727"/>
      <c r="AA316" s="722"/>
      <c r="AB316" s="727"/>
      <c r="AC316" s="720"/>
      <c r="AD316" s="722" t="str">
        <f>+IF(OR(AB316=1,AB316&lt;=5),"Moderado",IF(OR(AB316=6,AB316&lt;=11),"Mayor","Catastrófico"))</f>
        <v>Moderado</v>
      </c>
      <c r="AE316" s="720"/>
      <c r="AF316" s="715"/>
      <c r="AG316" s="52" t="s">
        <v>467</v>
      </c>
      <c r="AH316" s="145"/>
      <c r="AI316" s="145"/>
      <c r="AJ316" s="145"/>
      <c r="AK316" s="28" t="str">
        <f t="shared" si="52"/>
        <v/>
      </c>
      <c r="AL316" s="145"/>
      <c r="AM316" s="28" t="str">
        <f t="shared" si="53"/>
        <v/>
      </c>
      <c r="AN316" s="140"/>
      <c r="AO316" s="28" t="str">
        <f t="shared" si="54"/>
        <v/>
      </c>
      <c r="AP316" s="140"/>
      <c r="AQ316" s="28" t="str">
        <f t="shared" si="55"/>
        <v/>
      </c>
      <c r="AR316" s="140"/>
      <c r="AS316" s="28" t="str">
        <f t="shared" si="56"/>
        <v/>
      </c>
      <c r="AT316" s="140"/>
      <c r="AU316" s="28" t="str">
        <f t="shared" si="57"/>
        <v/>
      </c>
      <c r="AV316" s="140"/>
      <c r="AW316" s="28" t="str">
        <f t="shared" si="58"/>
        <v/>
      </c>
      <c r="AX316" s="111" t="str">
        <f t="shared" si="59"/>
        <v/>
      </c>
      <c r="AY316" s="111" t="str">
        <f t="shared" si="60"/>
        <v/>
      </c>
      <c r="AZ316" s="141"/>
      <c r="BA316" s="153" t="str">
        <f t="shared" si="61"/>
        <v>Débil</v>
      </c>
      <c r="BB316" s="22" t="str">
        <f>IFERROR(VLOOKUP((CONCATENATE(AY316,BA316)),Listados!$U$3:$V$11,2,FALSE),"")</f>
        <v/>
      </c>
      <c r="BC316" s="111">
        <f t="shared" si="62"/>
        <v>100</v>
      </c>
      <c r="BD316" s="717"/>
      <c r="BE316" s="761"/>
      <c r="BF316" s="717"/>
      <c r="BG316" s="717"/>
      <c r="BH316" s="713"/>
      <c r="BI316" s="715"/>
      <c r="BJ316" s="713"/>
      <c r="BK316" s="713"/>
      <c r="BL316" s="799"/>
      <c r="BM316" s="800"/>
      <c r="BN316" s="801"/>
      <c r="BO316" s="799"/>
      <c r="BP316" s="800"/>
      <c r="BQ316" s="801"/>
      <c r="BR316" s="799"/>
      <c r="BS316" s="800"/>
      <c r="BT316" s="801"/>
    </row>
    <row r="317" spans="1:72" ht="15" thickBot="1">
      <c r="A317" s="724"/>
      <c r="B317" s="777"/>
      <c r="C317" s="730"/>
      <c r="D317" s="736"/>
      <c r="E317" s="756"/>
      <c r="F317" s="770"/>
      <c r="G317" s="736"/>
      <c r="H317" s="764"/>
      <c r="I317" s="764"/>
      <c r="J317" s="764"/>
      <c r="K317" s="764"/>
      <c r="L317" s="764"/>
      <c r="M317" s="764"/>
      <c r="N317" s="764"/>
      <c r="O317" s="764"/>
      <c r="P317" s="764"/>
      <c r="Q317" s="764"/>
      <c r="R317" s="764"/>
      <c r="S317" s="764"/>
      <c r="T317" s="764"/>
      <c r="U317" s="764"/>
      <c r="V317" s="764"/>
      <c r="W317" s="764"/>
      <c r="X317" s="764"/>
      <c r="Y317" s="764"/>
      <c r="Z317" s="727"/>
      <c r="AA317" s="722"/>
      <c r="AB317" s="727"/>
      <c r="AC317" s="720"/>
      <c r="AD317" s="722" t="str">
        <f>+IF(OR(AB317=1,AB317&lt;=5),"Moderado",IF(OR(AB317=6,AB317&lt;=11),"Mayor","Catastrófico"))</f>
        <v>Moderado</v>
      </c>
      <c r="AE317" s="720"/>
      <c r="AF317" s="715"/>
      <c r="AG317" s="52" t="s">
        <v>467</v>
      </c>
      <c r="AH317" s="145"/>
      <c r="AI317" s="145"/>
      <c r="AJ317" s="145"/>
      <c r="AK317" s="28" t="str">
        <f t="shared" si="52"/>
        <v/>
      </c>
      <c r="AL317" s="145"/>
      <c r="AM317" s="28" t="str">
        <f t="shared" si="53"/>
        <v/>
      </c>
      <c r="AN317" s="140"/>
      <c r="AO317" s="28" t="str">
        <f t="shared" si="54"/>
        <v/>
      </c>
      <c r="AP317" s="140"/>
      <c r="AQ317" s="28" t="str">
        <f t="shared" si="55"/>
        <v/>
      </c>
      <c r="AR317" s="140"/>
      <c r="AS317" s="28" t="str">
        <f t="shared" si="56"/>
        <v/>
      </c>
      <c r="AT317" s="140"/>
      <c r="AU317" s="28" t="str">
        <f t="shared" si="57"/>
        <v/>
      </c>
      <c r="AV317" s="140"/>
      <c r="AW317" s="28" t="str">
        <f t="shared" si="58"/>
        <v/>
      </c>
      <c r="AX317" s="111" t="str">
        <f t="shared" si="59"/>
        <v/>
      </c>
      <c r="AY317" s="111" t="str">
        <f t="shared" si="60"/>
        <v/>
      </c>
      <c r="AZ317" s="141"/>
      <c r="BA317" s="153" t="str">
        <f t="shared" si="61"/>
        <v>Débil</v>
      </c>
      <c r="BB317" s="22" t="str">
        <f>IFERROR(VLOOKUP((CONCATENATE(AY317,BA317)),Listados!$U$3:$V$11,2,FALSE),"")</f>
        <v/>
      </c>
      <c r="BC317" s="111">
        <f t="shared" si="62"/>
        <v>100</v>
      </c>
      <c r="BD317" s="717"/>
      <c r="BE317" s="761"/>
      <c r="BF317" s="717"/>
      <c r="BG317" s="717"/>
      <c r="BH317" s="713"/>
      <c r="BI317" s="715"/>
      <c r="BJ317" s="713"/>
      <c r="BK317" s="713"/>
      <c r="BL317" s="799"/>
      <c r="BM317" s="800"/>
      <c r="BN317" s="801"/>
      <c r="BO317" s="799"/>
      <c r="BP317" s="800"/>
      <c r="BQ317" s="801"/>
      <c r="BR317" s="799"/>
      <c r="BS317" s="800"/>
      <c r="BT317" s="801"/>
    </row>
    <row r="318" spans="1:72" ht="15" thickBot="1">
      <c r="A318" s="725"/>
      <c r="B318" s="777"/>
      <c r="C318" s="731"/>
      <c r="D318" s="781"/>
      <c r="E318" s="757"/>
      <c r="F318" s="771"/>
      <c r="G318" s="736"/>
      <c r="H318" s="764"/>
      <c r="I318" s="764"/>
      <c r="J318" s="764"/>
      <c r="K318" s="764"/>
      <c r="L318" s="764"/>
      <c r="M318" s="764"/>
      <c r="N318" s="764"/>
      <c r="O318" s="764"/>
      <c r="P318" s="764"/>
      <c r="Q318" s="764"/>
      <c r="R318" s="764"/>
      <c r="S318" s="764"/>
      <c r="T318" s="764"/>
      <c r="U318" s="764"/>
      <c r="V318" s="764"/>
      <c r="W318" s="764"/>
      <c r="X318" s="764"/>
      <c r="Y318" s="764"/>
      <c r="Z318" s="727"/>
      <c r="AA318" s="722"/>
      <c r="AB318" s="727"/>
      <c r="AC318" s="721"/>
      <c r="AD318" s="722" t="str">
        <f>+IF(OR(AB318=1,AB318&lt;=5),"Moderado",IF(OR(AB318=6,AB318&lt;=11),"Mayor","Catastrófico"))</f>
        <v>Moderado</v>
      </c>
      <c r="AE318" s="721"/>
      <c r="AF318" s="715"/>
      <c r="AG318" s="52" t="s">
        <v>467</v>
      </c>
      <c r="AH318" s="145"/>
      <c r="AI318" s="145"/>
      <c r="AJ318" s="145"/>
      <c r="AK318" s="28" t="str">
        <f t="shared" si="52"/>
        <v/>
      </c>
      <c r="AL318" s="145"/>
      <c r="AM318" s="28" t="str">
        <f t="shared" si="53"/>
        <v/>
      </c>
      <c r="AN318" s="140"/>
      <c r="AO318" s="28" t="str">
        <f t="shared" si="54"/>
        <v/>
      </c>
      <c r="AP318" s="140"/>
      <c r="AQ318" s="28" t="str">
        <f t="shared" si="55"/>
        <v/>
      </c>
      <c r="AR318" s="140"/>
      <c r="AS318" s="28" t="str">
        <f t="shared" si="56"/>
        <v/>
      </c>
      <c r="AT318" s="140"/>
      <c r="AU318" s="28" t="str">
        <f t="shared" si="57"/>
        <v/>
      </c>
      <c r="AV318" s="140"/>
      <c r="AW318" s="28" t="str">
        <f t="shared" si="58"/>
        <v/>
      </c>
      <c r="AX318" s="111" t="str">
        <f t="shared" si="59"/>
        <v/>
      </c>
      <c r="AY318" s="111" t="str">
        <f t="shared" si="60"/>
        <v/>
      </c>
      <c r="AZ318" s="141"/>
      <c r="BA318" s="153" t="str">
        <f t="shared" si="61"/>
        <v>Débil</v>
      </c>
      <c r="BB318" s="22" t="str">
        <f>IFERROR(VLOOKUP((CONCATENATE(AY318,BA318)),Listados!$U$3:$V$11,2,FALSE),"")</f>
        <v/>
      </c>
      <c r="BC318" s="111">
        <f t="shared" si="62"/>
        <v>100</v>
      </c>
      <c r="BD318" s="718"/>
      <c r="BE318" s="761"/>
      <c r="BF318" s="718"/>
      <c r="BG318" s="718"/>
      <c r="BH318" s="714"/>
      <c r="BI318" s="715"/>
      <c r="BJ318" s="714"/>
      <c r="BK318" s="714"/>
      <c r="BL318" s="799"/>
      <c r="BM318" s="800"/>
      <c r="BN318" s="801"/>
      <c r="BO318" s="799"/>
      <c r="BP318" s="800"/>
      <c r="BQ318" s="801"/>
      <c r="BR318" s="799"/>
      <c r="BS318" s="800"/>
      <c r="BT318" s="801"/>
    </row>
    <row r="319" spans="1:72" ht="15" thickBot="1">
      <c r="A319" s="723">
        <v>53</v>
      </c>
      <c r="B319" s="776"/>
      <c r="C319" s="729" t="str">
        <f>IFERROR(VLOOKUP(B319,Listados!B$3:C$20,2,FALSE),"")</f>
        <v/>
      </c>
      <c r="D319" s="735" t="s">
        <v>584</v>
      </c>
      <c r="E319" s="105"/>
      <c r="F319" s="18"/>
      <c r="G319" s="735"/>
      <c r="H319" s="763"/>
      <c r="I319" s="763"/>
      <c r="J319" s="763"/>
      <c r="K319" s="763"/>
      <c r="L319" s="763"/>
      <c r="M319" s="763"/>
      <c r="N319" s="763"/>
      <c r="O319" s="763"/>
      <c r="P319" s="763"/>
      <c r="Q319" s="763"/>
      <c r="R319" s="763"/>
      <c r="S319" s="763"/>
      <c r="T319" s="763"/>
      <c r="U319" s="763"/>
      <c r="V319" s="763"/>
      <c r="W319" s="763"/>
      <c r="X319" s="763"/>
      <c r="Y319" s="763"/>
      <c r="Z319" s="762"/>
      <c r="AA319" s="721">
        <f>COUNTIF(H319:Z324, "SI")</f>
        <v>0</v>
      </c>
      <c r="AB319" s="762"/>
      <c r="AC319" s="719" t="e">
        <f>+VLOOKUP(AB319,Listados!$K$8:$L$12,2,0)</f>
        <v>#N/A</v>
      </c>
      <c r="AD319" s="721" t="str">
        <f>+IF(OR(AA319=1,AA319&lt;=5),"Moderado",IF(OR(AA319=6,AA319&lt;=11),"Mayor","Catastrófico"))</f>
        <v>Moderado</v>
      </c>
      <c r="AE319" s="719" t="e">
        <f>+VLOOKUP(AD319,Listados!K325:L329,2,0)</f>
        <v>#N/A</v>
      </c>
      <c r="AF319" s="714" t="str">
        <f>IF(AND(AB319&lt;&gt;"",AD319&lt;&gt;""),VLOOKUP(AB319&amp;AD319,Listados!$M$3:$N$27,2,FALSE),"")</f>
        <v/>
      </c>
      <c r="AG319" s="52" t="s">
        <v>467</v>
      </c>
      <c r="AH319" s="145"/>
      <c r="AI319" s="145"/>
      <c r="AJ319" s="145"/>
      <c r="AK319" s="28" t="str">
        <f t="shared" si="52"/>
        <v/>
      </c>
      <c r="AL319" s="145"/>
      <c r="AM319" s="28" t="str">
        <f t="shared" si="53"/>
        <v/>
      </c>
      <c r="AN319" s="140"/>
      <c r="AO319" s="28" t="str">
        <f t="shared" si="54"/>
        <v/>
      </c>
      <c r="AP319" s="140"/>
      <c r="AQ319" s="28" t="str">
        <f t="shared" si="55"/>
        <v/>
      </c>
      <c r="AR319" s="140"/>
      <c r="AS319" s="28" t="str">
        <f t="shared" si="56"/>
        <v/>
      </c>
      <c r="AT319" s="140"/>
      <c r="AU319" s="28" t="str">
        <f t="shared" si="57"/>
        <v/>
      </c>
      <c r="AV319" s="140"/>
      <c r="AW319" s="28" t="str">
        <f t="shared" si="58"/>
        <v/>
      </c>
      <c r="AX319" s="111" t="str">
        <f t="shared" si="59"/>
        <v/>
      </c>
      <c r="AY319" s="111" t="str">
        <f t="shared" si="60"/>
        <v/>
      </c>
      <c r="AZ319" s="141"/>
      <c r="BA319" s="153" t="str">
        <f t="shared" si="61"/>
        <v>Débil</v>
      </c>
      <c r="BB319" s="22" t="str">
        <f>IFERROR(VLOOKUP((CONCATENATE(AY319,BA319)),Listados!$U$3:$V$11,2,FALSE),"")</f>
        <v/>
      </c>
      <c r="BC319" s="111">
        <f t="shared" si="62"/>
        <v>100</v>
      </c>
      <c r="BD319" s="716">
        <f>AVERAGE(BC319:BC324)</f>
        <v>100</v>
      </c>
      <c r="BE319" s="718" t="str">
        <f>IF(BD319&lt;=50, "Débil", IF(BD319&lt;=99,"Moderado","Fuerte"))</f>
        <v>Fuerte</v>
      </c>
      <c r="BF319" s="716">
        <f>+IF(BE319="Fuerte",2,IF(BE319="Moderado",1,0))</f>
        <v>2</v>
      </c>
      <c r="BG319" s="716" t="e">
        <f>+AC319-BF319</f>
        <v>#N/A</v>
      </c>
      <c r="BH319" s="712" t="e">
        <f>+VLOOKUP(BG319,Listados!$J$18:$K$24,2,TRUE)</f>
        <v>#N/A</v>
      </c>
      <c r="BI319" s="714" t="str">
        <f>IF(ISBLANK(AD319),"",AD319)</f>
        <v>Moderado</v>
      </c>
      <c r="BJ319" s="712" t="e">
        <f>IF(AND(BH319&lt;&gt;"",BI319&lt;&gt;""),VLOOKUP(BH319&amp;BI319,Listados!$M$3:$N$27,2,FALSE),"")</f>
        <v>#N/A</v>
      </c>
      <c r="BK319" s="712" t="e">
        <f>+VLOOKUP(BJ319,Listados!$P$3:$Q$6,2,FALSE)</f>
        <v>#N/A</v>
      </c>
      <c r="BL319" s="799"/>
      <c r="BM319" s="800"/>
      <c r="BN319" s="801"/>
      <c r="BO319" s="799"/>
      <c r="BP319" s="800"/>
      <c r="BQ319" s="801"/>
      <c r="BR319" s="799"/>
      <c r="BS319" s="800"/>
      <c r="BT319" s="801"/>
    </row>
    <row r="320" spans="1:72" ht="15" thickBot="1">
      <c r="A320" s="724"/>
      <c r="B320" s="777"/>
      <c r="C320" s="730"/>
      <c r="D320" s="736"/>
      <c r="E320" s="161"/>
      <c r="F320" s="150"/>
      <c r="G320" s="736"/>
      <c r="H320" s="764"/>
      <c r="I320" s="764"/>
      <c r="J320" s="764"/>
      <c r="K320" s="764"/>
      <c r="L320" s="764"/>
      <c r="M320" s="764"/>
      <c r="N320" s="764"/>
      <c r="O320" s="764"/>
      <c r="P320" s="764"/>
      <c r="Q320" s="764"/>
      <c r="R320" s="764"/>
      <c r="S320" s="764"/>
      <c r="T320" s="764"/>
      <c r="U320" s="764"/>
      <c r="V320" s="764"/>
      <c r="W320" s="764"/>
      <c r="X320" s="764"/>
      <c r="Y320" s="764"/>
      <c r="Z320" s="727"/>
      <c r="AA320" s="722"/>
      <c r="AB320" s="727"/>
      <c r="AC320" s="720"/>
      <c r="AD320" s="722" t="str">
        <f>+IF(OR(AB320=1,AB320&lt;=5),"Moderado",IF(OR(AB320=6,AB320&lt;=11),"Mayor","Catastrófico"))</f>
        <v>Moderado</v>
      </c>
      <c r="AE320" s="720"/>
      <c r="AF320" s="715"/>
      <c r="AG320" s="52" t="s">
        <v>467</v>
      </c>
      <c r="AH320" s="145"/>
      <c r="AI320" s="145"/>
      <c r="AJ320" s="145"/>
      <c r="AK320" s="28" t="str">
        <f t="shared" si="52"/>
        <v/>
      </c>
      <c r="AL320" s="145"/>
      <c r="AM320" s="28" t="str">
        <f t="shared" si="53"/>
        <v/>
      </c>
      <c r="AN320" s="140"/>
      <c r="AO320" s="28" t="str">
        <f t="shared" si="54"/>
        <v/>
      </c>
      <c r="AP320" s="140"/>
      <c r="AQ320" s="28" t="str">
        <f t="shared" si="55"/>
        <v/>
      </c>
      <c r="AR320" s="140"/>
      <c r="AS320" s="28" t="str">
        <f t="shared" si="56"/>
        <v/>
      </c>
      <c r="AT320" s="140"/>
      <c r="AU320" s="28" t="str">
        <f t="shared" si="57"/>
        <v/>
      </c>
      <c r="AV320" s="140"/>
      <c r="AW320" s="28" t="str">
        <f t="shared" si="58"/>
        <v/>
      </c>
      <c r="AX320" s="111" t="str">
        <f t="shared" si="59"/>
        <v/>
      </c>
      <c r="AY320" s="111" t="str">
        <f t="shared" si="60"/>
        <v/>
      </c>
      <c r="AZ320" s="141"/>
      <c r="BA320" s="153" t="str">
        <f t="shared" si="61"/>
        <v>Débil</v>
      </c>
      <c r="BB320" s="22" t="str">
        <f>IFERROR(VLOOKUP((CONCATENATE(AY320,BA320)),Listados!$U$3:$V$11,2,FALSE),"")</f>
        <v/>
      </c>
      <c r="BC320" s="111">
        <f t="shared" si="62"/>
        <v>100</v>
      </c>
      <c r="BD320" s="717"/>
      <c r="BE320" s="761"/>
      <c r="BF320" s="717"/>
      <c r="BG320" s="717"/>
      <c r="BH320" s="713"/>
      <c r="BI320" s="715"/>
      <c r="BJ320" s="713"/>
      <c r="BK320" s="713"/>
      <c r="BL320" s="799"/>
      <c r="BM320" s="800"/>
      <c r="BN320" s="801"/>
      <c r="BO320" s="799"/>
      <c r="BP320" s="800"/>
      <c r="BQ320" s="801"/>
      <c r="BR320" s="799"/>
      <c r="BS320" s="800"/>
      <c r="BT320" s="801"/>
    </row>
    <row r="321" spans="1:72" ht="15" thickBot="1">
      <c r="A321" s="724"/>
      <c r="B321" s="777"/>
      <c r="C321" s="730"/>
      <c r="D321" s="736"/>
      <c r="E321" s="161"/>
      <c r="F321" s="150"/>
      <c r="G321" s="736"/>
      <c r="H321" s="764"/>
      <c r="I321" s="764"/>
      <c r="J321" s="764"/>
      <c r="K321" s="764"/>
      <c r="L321" s="764"/>
      <c r="M321" s="764"/>
      <c r="N321" s="764"/>
      <c r="O321" s="764"/>
      <c r="P321" s="764"/>
      <c r="Q321" s="764"/>
      <c r="R321" s="764"/>
      <c r="S321" s="764"/>
      <c r="T321" s="764"/>
      <c r="U321" s="764"/>
      <c r="V321" s="764"/>
      <c r="W321" s="764"/>
      <c r="X321" s="764"/>
      <c r="Y321" s="764"/>
      <c r="Z321" s="727"/>
      <c r="AA321" s="722"/>
      <c r="AB321" s="727"/>
      <c r="AC321" s="720"/>
      <c r="AD321" s="722" t="str">
        <f>+IF(OR(AB321=1,AB321&lt;=5),"Moderado",IF(OR(AB321=6,AB321&lt;=11),"Mayor","Catastrófico"))</f>
        <v>Moderado</v>
      </c>
      <c r="AE321" s="720"/>
      <c r="AF321" s="715"/>
      <c r="AG321" s="52" t="s">
        <v>467</v>
      </c>
      <c r="AH321" s="145"/>
      <c r="AI321" s="145"/>
      <c r="AJ321" s="145"/>
      <c r="AK321" s="28" t="str">
        <f t="shared" si="52"/>
        <v/>
      </c>
      <c r="AL321" s="145"/>
      <c r="AM321" s="28" t="str">
        <f t="shared" si="53"/>
        <v/>
      </c>
      <c r="AN321" s="140"/>
      <c r="AO321" s="28" t="str">
        <f t="shared" si="54"/>
        <v/>
      </c>
      <c r="AP321" s="140"/>
      <c r="AQ321" s="28" t="str">
        <f t="shared" si="55"/>
        <v/>
      </c>
      <c r="AR321" s="140"/>
      <c r="AS321" s="28" t="str">
        <f t="shared" si="56"/>
        <v/>
      </c>
      <c r="AT321" s="140"/>
      <c r="AU321" s="28" t="str">
        <f t="shared" si="57"/>
        <v/>
      </c>
      <c r="AV321" s="140"/>
      <c r="AW321" s="28" t="str">
        <f t="shared" si="58"/>
        <v/>
      </c>
      <c r="AX321" s="111" t="str">
        <f t="shared" si="59"/>
        <v/>
      </c>
      <c r="AY321" s="111" t="str">
        <f t="shared" si="60"/>
        <v/>
      </c>
      <c r="AZ321" s="141"/>
      <c r="BA321" s="153" t="str">
        <f t="shared" si="61"/>
        <v>Débil</v>
      </c>
      <c r="BB321" s="22" t="str">
        <f>IFERROR(VLOOKUP((CONCATENATE(AY321,BA321)),Listados!$U$3:$V$11,2,FALSE),"")</f>
        <v/>
      </c>
      <c r="BC321" s="111">
        <f t="shared" si="62"/>
        <v>100</v>
      </c>
      <c r="BD321" s="717"/>
      <c r="BE321" s="761"/>
      <c r="BF321" s="717"/>
      <c r="BG321" s="717"/>
      <c r="BH321" s="713"/>
      <c r="BI321" s="715"/>
      <c r="BJ321" s="713"/>
      <c r="BK321" s="713"/>
      <c r="BL321" s="799"/>
      <c r="BM321" s="800"/>
      <c r="BN321" s="801"/>
      <c r="BO321" s="799"/>
      <c r="BP321" s="800"/>
      <c r="BQ321" s="801"/>
      <c r="BR321" s="799"/>
      <c r="BS321" s="800"/>
      <c r="BT321" s="801"/>
    </row>
    <row r="322" spans="1:72" ht="15" thickBot="1">
      <c r="A322" s="724"/>
      <c r="B322" s="777"/>
      <c r="C322" s="730"/>
      <c r="D322" s="736"/>
      <c r="E322" s="755"/>
      <c r="F322" s="769"/>
      <c r="G322" s="736"/>
      <c r="H322" s="764"/>
      <c r="I322" s="764"/>
      <c r="J322" s="764"/>
      <c r="K322" s="764"/>
      <c r="L322" s="764"/>
      <c r="M322" s="764"/>
      <c r="N322" s="764"/>
      <c r="O322" s="764"/>
      <c r="P322" s="764"/>
      <c r="Q322" s="764"/>
      <c r="R322" s="764"/>
      <c r="S322" s="764"/>
      <c r="T322" s="764"/>
      <c r="U322" s="764"/>
      <c r="V322" s="764"/>
      <c r="W322" s="764"/>
      <c r="X322" s="764"/>
      <c r="Y322" s="764"/>
      <c r="Z322" s="727"/>
      <c r="AA322" s="722"/>
      <c r="AB322" s="727"/>
      <c r="AC322" s="720"/>
      <c r="AD322" s="722" t="str">
        <f>+IF(OR(AB322=1,AB322&lt;=5),"Moderado",IF(OR(AB322=6,AB322&lt;=11),"Mayor","Catastrófico"))</f>
        <v>Moderado</v>
      </c>
      <c r="AE322" s="720"/>
      <c r="AF322" s="715"/>
      <c r="AG322" s="52" t="s">
        <v>467</v>
      </c>
      <c r="AH322" s="145"/>
      <c r="AI322" s="145"/>
      <c r="AJ322" s="145"/>
      <c r="AK322" s="28" t="str">
        <f t="shared" si="52"/>
        <v/>
      </c>
      <c r="AL322" s="145"/>
      <c r="AM322" s="28" t="str">
        <f t="shared" si="53"/>
        <v/>
      </c>
      <c r="AN322" s="140"/>
      <c r="AO322" s="28" t="str">
        <f t="shared" si="54"/>
        <v/>
      </c>
      <c r="AP322" s="140"/>
      <c r="AQ322" s="28" t="str">
        <f t="shared" si="55"/>
        <v/>
      </c>
      <c r="AR322" s="140"/>
      <c r="AS322" s="28" t="str">
        <f t="shared" si="56"/>
        <v/>
      </c>
      <c r="AT322" s="140"/>
      <c r="AU322" s="28" t="str">
        <f t="shared" si="57"/>
        <v/>
      </c>
      <c r="AV322" s="140"/>
      <c r="AW322" s="28" t="str">
        <f t="shared" si="58"/>
        <v/>
      </c>
      <c r="AX322" s="111" t="str">
        <f t="shared" si="59"/>
        <v/>
      </c>
      <c r="AY322" s="111" t="str">
        <f t="shared" si="60"/>
        <v/>
      </c>
      <c r="AZ322" s="141"/>
      <c r="BA322" s="153" t="str">
        <f t="shared" si="61"/>
        <v>Débil</v>
      </c>
      <c r="BB322" s="22" t="str">
        <f>IFERROR(VLOOKUP((CONCATENATE(AY322,BA322)),Listados!$U$3:$V$11,2,FALSE),"")</f>
        <v/>
      </c>
      <c r="BC322" s="111">
        <f t="shared" si="62"/>
        <v>100</v>
      </c>
      <c r="BD322" s="717"/>
      <c r="BE322" s="761"/>
      <c r="BF322" s="717"/>
      <c r="BG322" s="717"/>
      <c r="BH322" s="713"/>
      <c r="BI322" s="715"/>
      <c r="BJ322" s="713"/>
      <c r="BK322" s="713"/>
      <c r="BL322" s="799"/>
      <c r="BM322" s="800"/>
      <c r="BN322" s="801"/>
      <c r="BO322" s="799"/>
      <c r="BP322" s="800"/>
      <c r="BQ322" s="801"/>
      <c r="BR322" s="799"/>
      <c r="BS322" s="800"/>
      <c r="BT322" s="801"/>
    </row>
    <row r="323" spans="1:72" ht="15" thickBot="1">
      <c r="A323" s="724"/>
      <c r="B323" s="777"/>
      <c r="C323" s="730"/>
      <c r="D323" s="736"/>
      <c r="E323" s="756"/>
      <c r="F323" s="770"/>
      <c r="G323" s="736"/>
      <c r="H323" s="764"/>
      <c r="I323" s="764"/>
      <c r="J323" s="764"/>
      <c r="K323" s="764"/>
      <c r="L323" s="764"/>
      <c r="M323" s="764"/>
      <c r="N323" s="764"/>
      <c r="O323" s="764"/>
      <c r="P323" s="764"/>
      <c r="Q323" s="764"/>
      <c r="R323" s="764"/>
      <c r="S323" s="764"/>
      <c r="T323" s="764"/>
      <c r="U323" s="764"/>
      <c r="V323" s="764"/>
      <c r="W323" s="764"/>
      <c r="X323" s="764"/>
      <c r="Y323" s="764"/>
      <c r="Z323" s="727"/>
      <c r="AA323" s="722"/>
      <c r="AB323" s="727"/>
      <c r="AC323" s="720"/>
      <c r="AD323" s="722" t="str">
        <f>+IF(OR(AB323=1,AB323&lt;=5),"Moderado",IF(OR(AB323=6,AB323&lt;=11),"Mayor","Catastrófico"))</f>
        <v>Moderado</v>
      </c>
      <c r="AE323" s="720"/>
      <c r="AF323" s="715"/>
      <c r="AG323" s="52" t="s">
        <v>467</v>
      </c>
      <c r="AH323" s="145"/>
      <c r="AI323" s="145"/>
      <c r="AJ323" s="145"/>
      <c r="AK323" s="28" t="str">
        <f t="shared" si="52"/>
        <v/>
      </c>
      <c r="AL323" s="145"/>
      <c r="AM323" s="28" t="str">
        <f t="shared" si="53"/>
        <v/>
      </c>
      <c r="AN323" s="140"/>
      <c r="AO323" s="28" t="str">
        <f t="shared" si="54"/>
        <v/>
      </c>
      <c r="AP323" s="140"/>
      <c r="AQ323" s="28" t="str">
        <f t="shared" si="55"/>
        <v/>
      </c>
      <c r="AR323" s="140"/>
      <c r="AS323" s="28" t="str">
        <f t="shared" si="56"/>
        <v/>
      </c>
      <c r="AT323" s="140"/>
      <c r="AU323" s="28" t="str">
        <f t="shared" si="57"/>
        <v/>
      </c>
      <c r="AV323" s="140"/>
      <c r="AW323" s="28" t="str">
        <f t="shared" si="58"/>
        <v/>
      </c>
      <c r="AX323" s="111" t="str">
        <f t="shared" si="59"/>
        <v/>
      </c>
      <c r="AY323" s="111" t="str">
        <f t="shared" si="60"/>
        <v/>
      </c>
      <c r="AZ323" s="141"/>
      <c r="BA323" s="153" t="str">
        <f t="shared" si="61"/>
        <v>Débil</v>
      </c>
      <c r="BB323" s="22" t="str">
        <f>IFERROR(VLOOKUP((CONCATENATE(AY323,BA323)),Listados!$U$3:$V$11,2,FALSE),"")</f>
        <v/>
      </c>
      <c r="BC323" s="111">
        <f t="shared" si="62"/>
        <v>100</v>
      </c>
      <c r="BD323" s="717"/>
      <c r="BE323" s="761"/>
      <c r="BF323" s="717"/>
      <c r="BG323" s="717"/>
      <c r="BH323" s="713"/>
      <c r="BI323" s="715"/>
      <c r="BJ323" s="713"/>
      <c r="BK323" s="713"/>
      <c r="BL323" s="799"/>
      <c r="BM323" s="800"/>
      <c r="BN323" s="801"/>
      <c r="BO323" s="799"/>
      <c r="BP323" s="800"/>
      <c r="BQ323" s="801"/>
      <c r="BR323" s="799"/>
      <c r="BS323" s="800"/>
      <c r="BT323" s="801"/>
    </row>
    <row r="324" spans="1:72" ht="15" thickBot="1">
      <c r="A324" s="725"/>
      <c r="B324" s="777"/>
      <c r="C324" s="731"/>
      <c r="D324" s="781"/>
      <c r="E324" s="757"/>
      <c r="F324" s="771"/>
      <c r="G324" s="736"/>
      <c r="H324" s="764"/>
      <c r="I324" s="764"/>
      <c r="J324" s="764"/>
      <c r="K324" s="764"/>
      <c r="L324" s="764"/>
      <c r="M324" s="764"/>
      <c r="N324" s="764"/>
      <c r="O324" s="764"/>
      <c r="P324" s="764"/>
      <c r="Q324" s="764"/>
      <c r="R324" s="764"/>
      <c r="S324" s="764"/>
      <c r="T324" s="764"/>
      <c r="U324" s="764"/>
      <c r="V324" s="764"/>
      <c r="W324" s="764"/>
      <c r="X324" s="764"/>
      <c r="Y324" s="764"/>
      <c r="Z324" s="727"/>
      <c r="AA324" s="722"/>
      <c r="AB324" s="727"/>
      <c r="AC324" s="721"/>
      <c r="AD324" s="722" t="str">
        <f>+IF(OR(AB324=1,AB324&lt;=5),"Moderado",IF(OR(AB324=6,AB324&lt;=11),"Mayor","Catastrófico"))</f>
        <v>Moderado</v>
      </c>
      <c r="AE324" s="721"/>
      <c r="AF324" s="715"/>
      <c r="AG324" s="52" t="s">
        <v>467</v>
      </c>
      <c r="AH324" s="145"/>
      <c r="AI324" s="145"/>
      <c r="AJ324" s="145"/>
      <c r="AK324" s="28" t="str">
        <f t="shared" si="52"/>
        <v/>
      </c>
      <c r="AL324" s="145"/>
      <c r="AM324" s="28" t="str">
        <f t="shared" si="53"/>
        <v/>
      </c>
      <c r="AN324" s="140"/>
      <c r="AO324" s="28" t="str">
        <f t="shared" si="54"/>
        <v/>
      </c>
      <c r="AP324" s="140"/>
      <c r="AQ324" s="28" t="str">
        <f t="shared" si="55"/>
        <v/>
      </c>
      <c r="AR324" s="140"/>
      <c r="AS324" s="28" t="str">
        <f t="shared" si="56"/>
        <v/>
      </c>
      <c r="AT324" s="140"/>
      <c r="AU324" s="28" t="str">
        <f t="shared" si="57"/>
        <v/>
      </c>
      <c r="AV324" s="140"/>
      <c r="AW324" s="28" t="str">
        <f t="shared" si="58"/>
        <v/>
      </c>
      <c r="AX324" s="111" t="str">
        <f t="shared" si="59"/>
        <v/>
      </c>
      <c r="AY324" s="111" t="str">
        <f t="shared" si="60"/>
        <v/>
      </c>
      <c r="AZ324" s="141"/>
      <c r="BA324" s="153" t="str">
        <f t="shared" si="61"/>
        <v>Débil</v>
      </c>
      <c r="BB324" s="22" t="str">
        <f>IFERROR(VLOOKUP((CONCATENATE(AY324,BA324)),Listados!$U$3:$V$11,2,FALSE),"")</f>
        <v/>
      </c>
      <c r="BC324" s="111">
        <f t="shared" si="62"/>
        <v>100</v>
      </c>
      <c r="BD324" s="718"/>
      <c r="BE324" s="761"/>
      <c r="BF324" s="718"/>
      <c r="BG324" s="718"/>
      <c r="BH324" s="714"/>
      <c r="BI324" s="715"/>
      <c r="BJ324" s="714"/>
      <c r="BK324" s="714"/>
      <c r="BL324" s="799"/>
      <c r="BM324" s="800"/>
      <c r="BN324" s="801"/>
      <c r="BO324" s="799"/>
      <c r="BP324" s="800"/>
      <c r="BQ324" s="801"/>
      <c r="BR324" s="799"/>
      <c r="BS324" s="800"/>
      <c r="BT324" s="801"/>
    </row>
    <row r="325" spans="1:72" ht="15" thickBot="1">
      <c r="A325" s="723">
        <v>54</v>
      </c>
      <c r="B325" s="776"/>
      <c r="C325" s="729" t="str">
        <f>IFERROR(VLOOKUP(B325,Listados!B$3:C$20,2,FALSE),"")</f>
        <v/>
      </c>
      <c r="D325" s="735" t="s">
        <v>584</v>
      </c>
      <c r="E325" s="105"/>
      <c r="F325" s="18"/>
      <c r="G325" s="735"/>
      <c r="H325" s="763"/>
      <c r="I325" s="763"/>
      <c r="J325" s="763"/>
      <c r="K325" s="763"/>
      <c r="L325" s="763"/>
      <c r="M325" s="763"/>
      <c r="N325" s="763"/>
      <c r="O325" s="763"/>
      <c r="P325" s="763"/>
      <c r="Q325" s="763"/>
      <c r="R325" s="763"/>
      <c r="S325" s="763"/>
      <c r="T325" s="763"/>
      <c r="U325" s="763"/>
      <c r="V325" s="763"/>
      <c r="W325" s="763"/>
      <c r="X325" s="763"/>
      <c r="Y325" s="763"/>
      <c r="Z325" s="762"/>
      <c r="AA325" s="721">
        <f>COUNTIF(H325:Z330, "SI")</f>
        <v>0</v>
      </c>
      <c r="AB325" s="762"/>
      <c r="AC325" s="719" t="e">
        <f>+VLOOKUP(AB325,Listados!$K$8:$L$12,2,0)</f>
        <v>#N/A</v>
      </c>
      <c r="AD325" s="721" t="str">
        <f>+IF(OR(AA325=1,AA325&lt;=5),"Moderado",IF(OR(AA325=6,AA325&lt;=11),"Mayor","Catastrófico"))</f>
        <v>Moderado</v>
      </c>
      <c r="AE325" s="719" t="e">
        <f>+VLOOKUP(AD325,Listados!K331:L335,2,0)</f>
        <v>#N/A</v>
      </c>
      <c r="AF325" s="714" t="str">
        <f>IF(AND(AB325&lt;&gt;"",AD325&lt;&gt;""),VLOOKUP(AB325&amp;AD325,Listados!$M$3:$N$27,2,FALSE),"")</f>
        <v/>
      </c>
      <c r="AG325" s="52" t="s">
        <v>467</v>
      </c>
      <c r="AH325" s="145"/>
      <c r="AI325" s="145"/>
      <c r="AJ325" s="145"/>
      <c r="AK325" s="28" t="str">
        <f t="shared" si="52"/>
        <v/>
      </c>
      <c r="AL325" s="145"/>
      <c r="AM325" s="28" t="str">
        <f t="shared" si="53"/>
        <v/>
      </c>
      <c r="AN325" s="140"/>
      <c r="AO325" s="28" t="str">
        <f t="shared" si="54"/>
        <v/>
      </c>
      <c r="AP325" s="140"/>
      <c r="AQ325" s="28" t="str">
        <f t="shared" si="55"/>
        <v/>
      </c>
      <c r="AR325" s="140"/>
      <c r="AS325" s="28" t="str">
        <f t="shared" si="56"/>
        <v/>
      </c>
      <c r="AT325" s="140"/>
      <c r="AU325" s="28" t="str">
        <f t="shared" si="57"/>
        <v/>
      </c>
      <c r="AV325" s="140"/>
      <c r="AW325" s="28" t="str">
        <f t="shared" si="58"/>
        <v/>
      </c>
      <c r="AX325" s="111" t="str">
        <f t="shared" si="59"/>
        <v/>
      </c>
      <c r="AY325" s="111" t="str">
        <f t="shared" si="60"/>
        <v/>
      </c>
      <c r="AZ325" s="141"/>
      <c r="BA325" s="153" t="str">
        <f t="shared" si="61"/>
        <v>Débil</v>
      </c>
      <c r="BB325" s="22" t="str">
        <f>IFERROR(VLOOKUP((CONCATENATE(AY325,BA325)),Listados!$U$3:$V$11,2,FALSE),"")</f>
        <v/>
      </c>
      <c r="BC325" s="111">
        <f t="shared" si="62"/>
        <v>100</v>
      </c>
      <c r="BD325" s="716">
        <f>AVERAGE(BC325:BC330)</f>
        <v>100</v>
      </c>
      <c r="BE325" s="718" t="str">
        <f>IF(BD325&lt;=50, "Débil", IF(BD325&lt;=99,"Moderado","Fuerte"))</f>
        <v>Fuerte</v>
      </c>
      <c r="BF325" s="716">
        <f>+IF(BE325="Fuerte",2,IF(BE325="Moderado",1,0))</f>
        <v>2</v>
      </c>
      <c r="BG325" s="716" t="e">
        <f>+AC325-BF325</f>
        <v>#N/A</v>
      </c>
      <c r="BH325" s="712" t="e">
        <f>+VLOOKUP(BG325,Listados!$J$18:$K$24,2,TRUE)</f>
        <v>#N/A</v>
      </c>
      <c r="BI325" s="714" t="str">
        <f>IF(ISBLANK(AD325),"",AD325)</f>
        <v>Moderado</v>
      </c>
      <c r="BJ325" s="712" t="e">
        <f>IF(AND(BH325&lt;&gt;"",BI325&lt;&gt;""),VLOOKUP(BH325&amp;BI325,Listados!$M$3:$N$27,2,FALSE),"")</f>
        <v>#N/A</v>
      </c>
      <c r="BK325" s="712" t="e">
        <f>+VLOOKUP(BJ325,Listados!$P$3:$Q$6,2,FALSE)</f>
        <v>#N/A</v>
      </c>
      <c r="BL325" s="799"/>
      <c r="BM325" s="800"/>
      <c r="BN325" s="801"/>
      <c r="BO325" s="799"/>
      <c r="BP325" s="800"/>
      <c r="BQ325" s="801"/>
      <c r="BR325" s="799"/>
      <c r="BS325" s="800"/>
      <c r="BT325" s="801"/>
    </row>
    <row r="326" spans="1:72" ht="15" thickBot="1">
      <c r="A326" s="724"/>
      <c r="B326" s="777"/>
      <c r="C326" s="730"/>
      <c r="D326" s="736"/>
      <c r="E326" s="161"/>
      <c r="F326" s="150"/>
      <c r="G326" s="736"/>
      <c r="H326" s="764"/>
      <c r="I326" s="764"/>
      <c r="J326" s="764"/>
      <c r="K326" s="764"/>
      <c r="L326" s="764"/>
      <c r="M326" s="764"/>
      <c r="N326" s="764"/>
      <c r="O326" s="764"/>
      <c r="P326" s="764"/>
      <c r="Q326" s="764"/>
      <c r="R326" s="764"/>
      <c r="S326" s="764"/>
      <c r="T326" s="764"/>
      <c r="U326" s="764"/>
      <c r="V326" s="764"/>
      <c r="W326" s="764"/>
      <c r="X326" s="764"/>
      <c r="Y326" s="764"/>
      <c r="Z326" s="727"/>
      <c r="AA326" s="722"/>
      <c r="AB326" s="727"/>
      <c r="AC326" s="720"/>
      <c r="AD326" s="722" t="str">
        <f>+IF(OR(AB326=1,AB326&lt;=5),"Moderado",IF(OR(AB326=6,AB326&lt;=11),"Mayor","Catastrófico"))</f>
        <v>Moderado</v>
      </c>
      <c r="AE326" s="720"/>
      <c r="AF326" s="715"/>
      <c r="AG326" s="52" t="s">
        <v>467</v>
      </c>
      <c r="AH326" s="145"/>
      <c r="AI326" s="145"/>
      <c r="AJ326" s="145"/>
      <c r="AK326" s="28" t="str">
        <f t="shared" si="52"/>
        <v/>
      </c>
      <c r="AL326" s="145"/>
      <c r="AM326" s="28" t="str">
        <f t="shared" si="53"/>
        <v/>
      </c>
      <c r="AN326" s="140"/>
      <c r="AO326" s="28" t="str">
        <f t="shared" si="54"/>
        <v/>
      </c>
      <c r="AP326" s="140"/>
      <c r="AQ326" s="28" t="str">
        <f t="shared" si="55"/>
        <v/>
      </c>
      <c r="AR326" s="140"/>
      <c r="AS326" s="28" t="str">
        <f t="shared" si="56"/>
        <v/>
      </c>
      <c r="AT326" s="140"/>
      <c r="AU326" s="28" t="str">
        <f t="shared" si="57"/>
        <v/>
      </c>
      <c r="AV326" s="140"/>
      <c r="AW326" s="28" t="str">
        <f t="shared" si="58"/>
        <v/>
      </c>
      <c r="AX326" s="111" t="str">
        <f t="shared" si="59"/>
        <v/>
      </c>
      <c r="AY326" s="111" t="str">
        <f t="shared" si="60"/>
        <v/>
      </c>
      <c r="AZ326" s="141"/>
      <c r="BA326" s="153" t="str">
        <f t="shared" si="61"/>
        <v>Débil</v>
      </c>
      <c r="BB326" s="22" t="str">
        <f>IFERROR(VLOOKUP((CONCATENATE(AY326,BA326)),Listados!$U$3:$V$11,2,FALSE),"")</f>
        <v/>
      </c>
      <c r="BC326" s="111">
        <f t="shared" si="62"/>
        <v>100</v>
      </c>
      <c r="BD326" s="717"/>
      <c r="BE326" s="761"/>
      <c r="BF326" s="717"/>
      <c r="BG326" s="717"/>
      <c r="BH326" s="713"/>
      <c r="BI326" s="715"/>
      <c r="BJ326" s="713"/>
      <c r="BK326" s="713"/>
      <c r="BL326" s="799"/>
      <c r="BM326" s="800"/>
      <c r="BN326" s="801"/>
      <c r="BO326" s="799"/>
      <c r="BP326" s="800"/>
      <c r="BQ326" s="801"/>
      <c r="BR326" s="799"/>
      <c r="BS326" s="800"/>
      <c r="BT326" s="801"/>
    </row>
    <row r="327" spans="1:72" ht="15" thickBot="1">
      <c r="A327" s="724"/>
      <c r="B327" s="777"/>
      <c r="C327" s="730"/>
      <c r="D327" s="736"/>
      <c r="E327" s="161"/>
      <c r="F327" s="150"/>
      <c r="G327" s="736"/>
      <c r="H327" s="764"/>
      <c r="I327" s="764"/>
      <c r="J327" s="764"/>
      <c r="K327" s="764"/>
      <c r="L327" s="764"/>
      <c r="M327" s="764"/>
      <c r="N327" s="764"/>
      <c r="O327" s="764"/>
      <c r="P327" s="764"/>
      <c r="Q327" s="764"/>
      <c r="R327" s="764"/>
      <c r="S327" s="764"/>
      <c r="T327" s="764"/>
      <c r="U327" s="764"/>
      <c r="V327" s="764"/>
      <c r="W327" s="764"/>
      <c r="X327" s="764"/>
      <c r="Y327" s="764"/>
      <c r="Z327" s="727"/>
      <c r="AA327" s="722"/>
      <c r="AB327" s="727"/>
      <c r="AC327" s="720"/>
      <c r="AD327" s="722" t="str">
        <f>+IF(OR(AB327=1,AB327&lt;=5),"Moderado",IF(OR(AB327=6,AB327&lt;=11),"Mayor","Catastrófico"))</f>
        <v>Moderado</v>
      </c>
      <c r="AE327" s="720"/>
      <c r="AF327" s="715"/>
      <c r="AG327" s="52" t="s">
        <v>467</v>
      </c>
      <c r="AH327" s="145"/>
      <c r="AI327" s="145"/>
      <c r="AJ327" s="145"/>
      <c r="AK327" s="28" t="str">
        <f t="shared" si="52"/>
        <v/>
      </c>
      <c r="AL327" s="145"/>
      <c r="AM327" s="28" t="str">
        <f t="shared" si="53"/>
        <v/>
      </c>
      <c r="AN327" s="140"/>
      <c r="AO327" s="28" t="str">
        <f t="shared" si="54"/>
        <v/>
      </c>
      <c r="AP327" s="140"/>
      <c r="AQ327" s="28" t="str">
        <f t="shared" si="55"/>
        <v/>
      </c>
      <c r="AR327" s="140"/>
      <c r="AS327" s="28" t="str">
        <f t="shared" si="56"/>
        <v/>
      </c>
      <c r="AT327" s="140"/>
      <c r="AU327" s="28" t="str">
        <f t="shared" si="57"/>
        <v/>
      </c>
      <c r="AV327" s="140"/>
      <c r="AW327" s="28" t="str">
        <f t="shared" si="58"/>
        <v/>
      </c>
      <c r="AX327" s="111" t="str">
        <f t="shared" si="59"/>
        <v/>
      </c>
      <c r="AY327" s="111" t="str">
        <f t="shared" si="60"/>
        <v/>
      </c>
      <c r="AZ327" s="141"/>
      <c r="BA327" s="153" t="str">
        <f t="shared" si="61"/>
        <v>Débil</v>
      </c>
      <c r="BB327" s="22" t="str">
        <f>IFERROR(VLOOKUP((CONCATENATE(AY327,BA327)),Listados!$U$3:$V$11,2,FALSE),"")</f>
        <v/>
      </c>
      <c r="BC327" s="111">
        <f t="shared" si="62"/>
        <v>100</v>
      </c>
      <c r="BD327" s="717"/>
      <c r="BE327" s="761"/>
      <c r="BF327" s="717"/>
      <c r="BG327" s="717"/>
      <c r="BH327" s="713"/>
      <c r="BI327" s="715"/>
      <c r="BJ327" s="713"/>
      <c r="BK327" s="713"/>
      <c r="BL327" s="799"/>
      <c r="BM327" s="800"/>
      <c r="BN327" s="801"/>
      <c r="BO327" s="799"/>
      <c r="BP327" s="800"/>
      <c r="BQ327" s="801"/>
      <c r="BR327" s="799"/>
      <c r="BS327" s="800"/>
      <c r="BT327" s="801"/>
    </row>
    <row r="328" spans="1:72" ht="15" thickBot="1">
      <c r="A328" s="724"/>
      <c r="B328" s="777"/>
      <c r="C328" s="730"/>
      <c r="D328" s="736"/>
      <c r="E328" s="755"/>
      <c r="F328" s="769"/>
      <c r="G328" s="736"/>
      <c r="H328" s="764"/>
      <c r="I328" s="764"/>
      <c r="J328" s="764"/>
      <c r="K328" s="764"/>
      <c r="L328" s="764"/>
      <c r="M328" s="764"/>
      <c r="N328" s="764"/>
      <c r="O328" s="764"/>
      <c r="P328" s="764"/>
      <c r="Q328" s="764"/>
      <c r="R328" s="764"/>
      <c r="S328" s="764"/>
      <c r="T328" s="764"/>
      <c r="U328" s="764"/>
      <c r="V328" s="764"/>
      <c r="W328" s="764"/>
      <c r="X328" s="764"/>
      <c r="Y328" s="764"/>
      <c r="Z328" s="727"/>
      <c r="AA328" s="722"/>
      <c r="AB328" s="727"/>
      <c r="AC328" s="720"/>
      <c r="AD328" s="722" t="str">
        <f>+IF(OR(AB328=1,AB328&lt;=5),"Moderado",IF(OR(AB328=6,AB328&lt;=11),"Mayor","Catastrófico"))</f>
        <v>Moderado</v>
      </c>
      <c r="AE328" s="720"/>
      <c r="AF328" s="715"/>
      <c r="AG328" s="52" t="s">
        <v>467</v>
      </c>
      <c r="AH328" s="145"/>
      <c r="AI328" s="145"/>
      <c r="AJ328" s="145"/>
      <c r="AK328" s="28" t="str">
        <f t="shared" ref="AK328:AK366" si="63">+IF(AJ328="si",15,"")</f>
        <v/>
      </c>
      <c r="AL328" s="145"/>
      <c r="AM328" s="28" t="str">
        <f t="shared" ref="AM328:AM366" si="64">+IF(AL328="si",15,"")</f>
        <v/>
      </c>
      <c r="AN328" s="140"/>
      <c r="AO328" s="28" t="str">
        <f t="shared" ref="AO328:AO366" si="65">+IF(AN328="si",15,"")</f>
        <v/>
      </c>
      <c r="AP328" s="140"/>
      <c r="AQ328" s="28" t="str">
        <f t="shared" ref="AQ328:AQ366" si="66">+IF(AP328="Preventivo",15,IF(AP328="Detectivo",10,""))</f>
        <v/>
      </c>
      <c r="AR328" s="140"/>
      <c r="AS328" s="28" t="str">
        <f t="shared" ref="AS328:AS366" si="67">+IF(AR328="si",15,"")</f>
        <v/>
      </c>
      <c r="AT328" s="140"/>
      <c r="AU328" s="28" t="str">
        <f t="shared" ref="AU328:AU366" si="68">+IF(AT328="si",15,"")</f>
        <v/>
      </c>
      <c r="AV328" s="140"/>
      <c r="AW328" s="28" t="str">
        <f t="shared" ref="AW328:AW366" si="69">+IF(AV328="Completa",10,IF(AV328="Incompleta",5,""))</f>
        <v/>
      </c>
      <c r="AX328" s="111" t="str">
        <f t="shared" ref="AX328:AX366" si="70">IF((SUM(AK328,AM328,AO328,AQ328,AS328,AU328,AW328)=0),"",(SUM(AK328,AM328,AO328,AQ328,AS328,AU328,AW328)))</f>
        <v/>
      </c>
      <c r="AY328" s="111" t="str">
        <f t="shared" ref="AY328:AY366" si="71">IF(AX328&lt;=85,"Débil",IF(AX328&lt;=95,"Moderado",IF(AX328=100,"Fuerte","")))</f>
        <v/>
      </c>
      <c r="AZ328" s="141"/>
      <c r="BA328" s="153" t="str">
        <f t="shared" ref="BA328:BA366" si="72">+IF(AZ328="siempre","Fuerte",IF(AZ328="Algunas veces","Moderado","Débil"))</f>
        <v>Débil</v>
      </c>
      <c r="BB328" s="22" t="str">
        <f>IFERROR(VLOOKUP((CONCATENATE(AY328,BA328)),Listados!$U$3:$V$11,2,FALSE),"")</f>
        <v/>
      </c>
      <c r="BC328" s="111">
        <f t="shared" ref="BC328:BC366" si="73">IF(ISBLANK(BB328),"",IF(BB328="Débil", 0, IF(BB328="Moderado",50,100)))</f>
        <v>100</v>
      </c>
      <c r="BD328" s="717"/>
      <c r="BE328" s="761"/>
      <c r="BF328" s="717"/>
      <c r="BG328" s="717"/>
      <c r="BH328" s="713"/>
      <c r="BI328" s="715"/>
      <c r="BJ328" s="713"/>
      <c r="BK328" s="713"/>
      <c r="BL328" s="799"/>
      <c r="BM328" s="800"/>
      <c r="BN328" s="801"/>
      <c r="BO328" s="799"/>
      <c r="BP328" s="800"/>
      <c r="BQ328" s="801"/>
      <c r="BR328" s="799"/>
      <c r="BS328" s="800"/>
      <c r="BT328" s="801"/>
    </row>
    <row r="329" spans="1:72" ht="15" thickBot="1">
      <c r="A329" s="724"/>
      <c r="B329" s="777"/>
      <c r="C329" s="730"/>
      <c r="D329" s="736"/>
      <c r="E329" s="756"/>
      <c r="F329" s="770"/>
      <c r="G329" s="736"/>
      <c r="H329" s="764"/>
      <c r="I329" s="764"/>
      <c r="J329" s="764"/>
      <c r="K329" s="764"/>
      <c r="L329" s="764"/>
      <c r="M329" s="764"/>
      <c r="N329" s="764"/>
      <c r="O329" s="764"/>
      <c r="P329" s="764"/>
      <c r="Q329" s="764"/>
      <c r="R329" s="764"/>
      <c r="S329" s="764"/>
      <c r="T329" s="764"/>
      <c r="U329" s="764"/>
      <c r="V329" s="764"/>
      <c r="W329" s="764"/>
      <c r="X329" s="764"/>
      <c r="Y329" s="764"/>
      <c r="Z329" s="727"/>
      <c r="AA329" s="722"/>
      <c r="AB329" s="727"/>
      <c r="AC329" s="720"/>
      <c r="AD329" s="722" t="str">
        <f>+IF(OR(AB329=1,AB329&lt;=5),"Moderado",IF(OR(AB329=6,AB329&lt;=11),"Mayor","Catastrófico"))</f>
        <v>Moderado</v>
      </c>
      <c r="AE329" s="720"/>
      <c r="AF329" s="715"/>
      <c r="AG329" s="52" t="s">
        <v>467</v>
      </c>
      <c r="AH329" s="145"/>
      <c r="AI329" s="145"/>
      <c r="AJ329" s="145"/>
      <c r="AK329" s="28" t="str">
        <f t="shared" si="63"/>
        <v/>
      </c>
      <c r="AL329" s="145"/>
      <c r="AM329" s="28" t="str">
        <f t="shared" si="64"/>
        <v/>
      </c>
      <c r="AN329" s="140"/>
      <c r="AO329" s="28" t="str">
        <f t="shared" si="65"/>
        <v/>
      </c>
      <c r="AP329" s="140"/>
      <c r="AQ329" s="28" t="str">
        <f t="shared" si="66"/>
        <v/>
      </c>
      <c r="AR329" s="140"/>
      <c r="AS329" s="28" t="str">
        <f t="shared" si="67"/>
        <v/>
      </c>
      <c r="AT329" s="140"/>
      <c r="AU329" s="28" t="str">
        <f t="shared" si="68"/>
        <v/>
      </c>
      <c r="AV329" s="140"/>
      <c r="AW329" s="28" t="str">
        <f t="shared" si="69"/>
        <v/>
      </c>
      <c r="AX329" s="111" t="str">
        <f t="shared" si="70"/>
        <v/>
      </c>
      <c r="AY329" s="111" t="str">
        <f t="shared" si="71"/>
        <v/>
      </c>
      <c r="AZ329" s="141"/>
      <c r="BA329" s="153" t="str">
        <f t="shared" si="72"/>
        <v>Débil</v>
      </c>
      <c r="BB329" s="22" t="str">
        <f>IFERROR(VLOOKUP((CONCATENATE(AY329,BA329)),Listados!$U$3:$V$11,2,FALSE),"")</f>
        <v/>
      </c>
      <c r="BC329" s="111">
        <f t="shared" si="73"/>
        <v>100</v>
      </c>
      <c r="BD329" s="717"/>
      <c r="BE329" s="761"/>
      <c r="BF329" s="717"/>
      <c r="BG329" s="717"/>
      <c r="BH329" s="713"/>
      <c r="BI329" s="715"/>
      <c r="BJ329" s="713"/>
      <c r="BK329" s="713"/>
      <c r="BL329" s="799"/>
      <c r="BM329" s="800"/>
      <c r="BN329" s="801"/>
      <c r="BO329" s="799"/>
      <c r="BP329" s="800"/>
      <c r="BQ329" s="801"/>
      <c r="BR329" s="799"/>
      <c r="BS329" s="800"/>
      <c r="BT329" s="801"/>
    </row>
    <row r="330" spans="1:72" ht="15" thickBot="1">
      <c r="A330" s="725"/>
      <c r="B330" s="777"/>
      <c r="C330" s="731"/>
      <c r="D330" s="781"/>
      <c r="E330" s="757"/>
      <c r="F330" s="771"/>
      <c r="G330" s="736"/>
      <c r="H330" s="764"/>
      <c r="I330" s="764"/>
      <c r="J330" s="764"/>
      <c r="K330" s="764"/>
      <c r="L330" s="764"/>
      <c r="M330" s="764"/>
      <c r="N330" s="764"/>
      <c r="O330" s="764"/>
      <c r="P330" s="764"/>
      <c r="Q330" s="764"/>
      <c r="R330" s="764"/>
      <c r="S330" s="764"/>
      <c r="T330" s="764"/>
      <c r="U330" s="764"/>
      <c r="V330" s="764"/>
      <c r="W330" s="764"/>
      <c r="X330" s="764"/>
      <c r="Y330" s="764"/>
      <c r="Z330" s="727"/>
      <c r="AA330" s="722"/>
      <c r="AB330" s="727"/>
      <c r="AC330" s="721"/>
      <c r="AD330" s="722" t="str">
        <f>+IF(OR(AB330=1,AB330&lt;=5),"Moderado",IF(OR(AB330=6,AB330&lt;=11),"Mayor","Catastrófico"))</f>
        <v>Moderado</v>
      </c>
      <c r="AE330" s="721"/>
      <c r="AF330" s="715"/>
      <c r="AG330" s="52" t="s">
        <v>467</v>
      </c>
      <c r="AH330" s="145"/>
      <c r="AI330" s="145"/>
      <c r="AJ330" s="145"/>
      <c r="AK330" s="28" t="str">
        <f t="shared" si="63"/>
        <v/>
      </c>
      <c r="AL330" s="145"/>
      <c r="AM330" s="28" t="str">
        <f t="shared" si="64"/>
        <v/>
      </c>
      <c r="AN330" s="140"/>
      <c r="AO330" s="28" t="str">
        <f t="shared" si="65"/>
        <v/>
      </c>
      <c r="AP330" s="140"/>
      <c r="AQ330" s="28" t="str">
        <f t="shared" si="66"/>
        <v/>
      </c>
      <c r="AR330" s="140"/>
      <c r="AS330" s="28" t="str">
        <f t="shared" si="67"/>
        <v/>
      </c>
      <c r="AT330" s="140"/>
      <c r="AU330" s="28" t="str">
        <f t="shared" si="68"/>
        <v/>
      </c>
      <c r="AV330" s="140"/>
      <c r="AW330" s="28" t="str">
        <f t="shared" si="69"/>
        <v/>
      </c>
      <c r="AX330" s="111" t="str">
        <f t="shared" si="70"/>
        <v/>
      </c>
      <c r="AY330" s="111" t="str">
        <f t="shared" si="71"/>
        <v/>
      </c>
      <c r="AZ330" s="141"/>
      <c r="BA330" s="153" t="str">
        <f t="shared" si="72"/>
        <v>Débil</v>
      </c>
      <c r="BB330" s="22" t="str">
        <f>IFERROR(VLOOKUP((CONCATENATE(AY330,BA330)),Listados!$U$3:$V$11,2,FALSE),"")</f>
        <v/>
      </c>
      <c r="BC330" s="111">
        <f t="shared" si="73"/>
        <v>100</v>
      </c>
      <c r="BD330" s="718"/>
      <c r="BE330" s="761"/>
      <c r="BF330" s="718"/>
      <c r="BG330" s="718"/>
      <c r="BH330" s="714"/>
      <c r="BI330" s="715"/>
      <c r="BJ330" s="714"/>
      <c r="BK330" s="714"/>
      <c r="BL330" s="799"/>
      <c r="BM330" s="800"/>
      <c r="BN330" s="801"/>
      <c r="BO330" s="799"/>
      <c r="BP330" s="800"/>
      <c r="BQ330" s="801"/>
      <c r="BR330" s="799"/>
      <c r="BS330" s="800"/>
      <c r="BT330" s="801"/>
    </row>
    <row r="331" spans="1:72" ht="15" thickBot="1">
      <c r="A331" s="723">
        <v>55</v>
      </c>
      <c r="B331" s="776"/>
      <c r="C331" s="729" t="str">
        <f>IFERROR(VLOOKUP(B331,Listados!B$3:C$20,2,FALSE),"")</f>
        <v/>
      </c>
      <c r="D331" s="735" t="s">
        <v>584</v>
      </c>
      <c r="E331" s="105"/>
      <c r="F331" s="18"/>
      <c r="G331" s="735"/>
      <c r="H331" s="763"/>
      <c r="I331" s="763"/>
      <c r="J331" s="763"/>
      <c r="K331" s="763"/>
      <c r="L331" s="763"/>
      <c r="M331" s="763"/>
      <c r="N331" s="763"/>
      <c r="O331" s="763"/>
      <c r="P331" s="763"/>
      <c r="Q331" s="763"/>
      <c r="R331" s="763"/>
      <c r="S331" s="763"/>
      <c r="T331" s="763"/>
      <c r="U331" s="763"/>
      <c r="V331" s="763"/>
      <c r="W331" s="763"/>
      <c r="X331" s="763"/>
      <c r="Y331" s="763"/>
      <c r="Z331" s="762"/>
      <c r="AA331" s="721">
        <f>COUNTIF(H331:Z336, "SI")</f>
        <v>0</v>
      </c>
      <c r="AB331" s="762"/>
      <c r="AC331" s="719" t="e">
        <f>+VLOOKUP(AB331,Listados!$K$8:$L$12,2,0)</f>
        <v>#N/A</v>
      </c>
      <c r="AD331" s="721" t="str">
        <f>+IF(OR(AA331=1,AA331&lt;=5),"Moderado",IF(OR(AA331=6,AA331&lt;=11),"Mayor","Catastrófico"))</f>
        <v>Moderado</v>
      </c>
      <c r="AE331" s="719" t="e">
        <f>+VLOOKUP(AD331,Listados!K337:L341,2,0)</f>
        <v>#N/A</v>
      </c>
      <c r="AF331" s="714" t="str">
        <f>IF(AND(AB331&lt;&gt;"",AD331&lt;&gt;""),VLOOKUP(AB331&amp;AD331,Listados!$M$3:$N$27,2,FALSE),"")</f>
        <v/>
      </c>
      <c r="AG331" s="52" t="s">
        <v>467</v>
      </c>
      <c r="AH331" s="145"/>
      <c r="AI331" s="145"/>
      <c r="AJ331" s="145"/>
      <c r="AK331" s="28" t="str">
        <f t="shared" si="63"/>
        <v/>
      </c>
      <c r="AL331" s="145"/>
      <c r="AM331" s="28" t="str">
        <f t="shared" si="64"/>
        <v/>
      </c>
      <c r="AN331" s="140"/>
      <c r="AO331" s="28" t="str">
        <f t="shared" si="65"/>
        <v/>
      </c>
      <c r="AP331" s="140"/>
      <c r="AQ331" s="28" t="str">
        <f t="shared" si="66"/>
        <v/>
      </c>
      <c r="AR331" s="140"/>
      <c r="AS331" s="28" t="str">
        <f t="shared" si="67"/>
        <v/>
      </c>
      <c r="AT331" s="140"/>
      <c r="AU331" s="28" t="str">
        <f t="shared" si="68"/>
        <v/>
      </c>
      <c r="AV331" s="140"/>
      <c r="AW331" s="28" t="str">
        <f t="shared" si="69"/>
        <v/>
      </c>
      <c r="AX331" s="111" t="str">
        <f t="shared" si="70"/>
        <v/>
      </c>
      <c r="AY331" s="111" t="str">
        <f t="shared" si="71"/>
        <v/>
      </c>
      <c r="AZ331" s="141"/>
      <c r="BA331" s="153" t="str">
        <f t="shared" si="72"/>
        <v>Débil</v>
      </c>
      <c r="BB331" s="22" t="str">
        <f>IFERROR(VLOOKUP((CONCATENATE(AY331,BA331)),Listados!$U$3:$V$11,2,FALSE),"")</f>
        <v/>
      </c>
      <c r="BC331" s="111">
        <f t="shared" si="73"/>
        <v>100</v>
      </c>
      <c r="BD331" s="716">
        <f>AVERAGE(BC331:BC336)</f>
        <v>100</v>
      </c>
      <c r="BE331" s="718" t="str">
        <f>IF(BD331&lt;=50, "Débil", IF(BD331&lt;=99,"Moderado","Fuerte"))</f>
        <v>Fuerte</v>
      </c>
      <c r="BF331" s="716">
        <f>+IF(BE331="Fuerte",2,IF(BE331="Moderado",1,0))</f>
        <v>2</v>
      </c>
      <c r="BG331" s="716" t="e">
        <f>+AC331-BF331</f>
        <v>#N/A</v>
      </c>
      <c r="BH331" s="712" t="e">
        <f>+VLOOKUP(BG331,Listados!$J$18:$K$24,2,TRUE)</f>
        <v>#N/A</v>
      </c>
      <c r="BI331" s="714" t="str">
        <f>IF(ISBLANK(AD331),"",AD331)</f>
        <v>Moderado</v>
      </c>
      <c r="BJ331" s="712" t="e">
        <f>IF(AND(BH331&lt;&gt;"",BI331&lt;&gt;""),VLOOKUP(BH331&amp;BI331,Listados!$M$3:$N$27,2,FALSE),"")</f>
        <v>#N/A</v>
      </c>
      <c r="BK331" s="712" t="e">
        <f>+VLOOKUP(BJ331,Listados!$P$3:$Q$6,2,FALSE)</f>
        <v>#N/A</v>
      </c>
      <c r="BL331" s="799"/>
      <c r="BM331" s="800"/>
      <c r="BN331" s="801"/>
      <c r="BO331" s="799"/>
      <c r="BP331" s="800"/>
      <c r="BQ331" s="801"/>
      <c r="BR331" s="799"/>
      <c r="BS331" s="800"/>
      <c r="BT331" s="801"/>
    </row>
    <row r="332" spans="1:72" ht="15" thickBot="1">
      <c r="A332" s="724"/>
      <c r="B332" s="777"/>
      <c r="C332" s="730"/>
      <c r="D332" s="736"/>
      <c r="E332" s="161"/>
      <c r="F332" s="150"/>
      <c r="G332" s="736"/>
      <c r="H332" s="764"/>
      <c r="I332" s="764"/>
      <c r="J332" s="764"/>
      <c r="K332" s="764"/>
      <c r="L332" s="764"/>
      <c r="M332" s="764"/>
      <c r="N332" s="764"/>
      <c r="O332" s="764"/>
      <c r="P332" s="764"/>
      <c r="Q332" s="764"/>
      <c r="R332" s="764"/>
      <c r="S332" s="764"/>
      <c r="T332" s="764"/>
      <c r="U332" s="764"/>
      <c r="V332" s="764"/>
      <c r="W332" s="764"/>
      <c r="X332" s="764"/>
      <c r="Y332" s="764"/>
      <c r="Z332" s="727"/>
      <c r="AA332" s="722"/>
      <c r="AB332" s="727"/>
      <c r="AC332" s="720"/>
      <c r="AD332" s="722" t="str">
        <f>+IF(OR(AB332=1,AB332&lt;=5),"Moderado",IF(OR(AB332=6,AB332&lt;=11),"Mayor","Catastrófico"))</f>
        <v>Moderado</v>
      </c>
      <c r="AE332" s="720"/>
      <c r="AF332" s="715"/>
      <c r="AG332" s="52" t="s">
        <v>467</v>
      </c>
      <c r="AH332" s="145"/>
      <c r="AI332" s="145"/>
      <c r="AJ332" s="145"/>
      <c r="AK332" s="28" t="str">
        <f t="shared" si="63"/>
        <v/>
      </c>
      <c r="AL332" s="145"/>
      <c r="AM332" s="28" t="str">
        <f t="shared" si="64"/>
        <v/>
      </c>
      <c r="AN332" s="140"/>
      <c r="AO332" s="28" t="str">
        <f t="shared" si="65"/>
        <v/>
      </c>
      <c r="AP332" s="140"/>
      <c r="AQ332" s="28" t="str">
        <f t="shared" si="66"/>
        <v/>
      </c>
      <c r="AR332" s="140"/>
      <c r="AS332" s="28" t="str">
        <f t="shared" si="67"/>
        <v/>
      </c>
      <c r="AT332" s="140"/>
      <c r="AU332" s="28" t="str">
        <f t="shared" si="68"/>
        <v/>
      </c>
      <c r="AV332" s="140"/>
      <c r="AW332" s="28" t="str">
        <f t="shared" si="69"/>
        <v/>
      </c>
      <c r="AX332" s="111" t="str">
        <f t="shared" si="70"/>
        <v/>
      </c>
      <c r="AY332" s="111" t="str">
        <f t="shared" si="71"/>
        <v/>
      </c>
      <c r="AZ332" s="141"/>
      <c r="BA332" s="153" t="str">
        <f t="shared" si="72"/>
        <v>Débil</v>
      </c>
      <c r="BB332" s="22" t="str">
        <f>IFERROR(VLOOKUP((CONCATENATE(AY332,BA332)),Listados!$U$3:$V$11,2,FALSE),"")</f>
        <v/>
      </c>
      <c r="BC332" s="111">
        <f t="shared" si="73"/>
        <v>100</v>
      </c>
      <c r="BD332" s="717"/>
      <c r="BE332" s="761"/>
      <c r="BF332" s="717"/>
      <c r="BG332" s="717"/>
      <c r="BH332" s="713"/>
      <c r="BI332" s="715"/>
      <c r="BJ332" s="713"/>
      <c r="BK332" s="713"/>
      <c r="BL332" s="799"/>
      <c r="BM332" s="800"/>
      <c r="BN332" s="801"/>
      <c r="BO332" s="799"/>
      <c r="BP332" s="800"/>
      <c r="BQ332" s="801"/>
      <c r="BR332" s="799"/>
      <c r="BS332" s="800"/>
      <c r="BT332" s="801"/>
    </row>
    <row r="333" spans="1:72" ht="15" thickBot="1">
      <c r="A333" s="724"/>
      <c r="B333" s="777"/>
      <c r="C333" s="730"/>
      <c r="D333" s="736"/>
      <c r="E333" s="161"/>
      <c r="F333" s="150"/>
      <c r="G333" s="736"/>
      <c r="H333" s="764"/>
      <c r="I333" s="764"/>
      <c r="J333" s="764"/>
      <c r="K333" s="764"/>
      <c r="L333" s="764"/>
      <c r="M333" s="764"/>
      <c r="N333" s="764"/>
      <c r="O333" s="764"/>
      <c r="P333" s="764"/>
      <c r="Q333" s="764"/>
      <c r="R333" s="764"/>
      <c r="S333" s="764"/>
      <c r="T333" s="764"/>
      <c r="U333" s="764"/>
      <c r="V333" s="764"/>
      <c r="W333" s="764"/>
      <c r="X333" s="764"/>
      <c r="Y333" s="764"/>
      <c r="Z333" s="727"/>
      <c r="AA333" s="722"/>
      <c r="AB333" s="727"/>
      <c r="AC333" s="720"/>
      <c r="AD333" s="722" t="str">
        <f>+IF(OR(AB333=1,AB333&lt;=5),"Moderado",IF(OR(AB333=6,AB333&lt;=11),"Mayor","Catastrófico"))</f>
        <v>Moderado</v>
      </c>
      <c r="AE333" s="720"/>
      <c r="AF333" s="715"/>
      <c r="AG333" s="52" t="s">
        <v>467</v>
      </c>
      <c r="AH333" s="145"/>
      <c r="AI333" s="145"/>
      <c r="AJ333" s="145"/>
      <c r="AK333" s="28" t="str">
        <f t="shared" si="63"/>
        <v/>
      </c>
      <c r="AL333" s="145"/>
      <c r="AM333" s="28" t="str">
        <f t="shared" si="64"/>
        <v/>
      </c>
      <c r="AN333" s="140"/>
      <c r="AO333" s="28" t="str">
        <f t="shared" si="65"/>
        <v/>
      </c>
      <c r="AP333" s="140"/>
      <c r="AQ333" s="28" t="str">
        <f t="shared" si="66"/>
        <v/>
      </c>
      <c r="AR333" s="140"/>
      <c r="AS333" s="28" t="str">
        <f t="shared" si="67"/>
        <v/>
      </c>
      <c r="AT333" s="140"/>
      <c r="AU333" s="28" t="str">
        <f t="shared" si="68"/>
        <v/>
      </c>
      <c r="AV333" s="140"/>
      <c r="AW333" s="28" t="str">
        <f t="shared" si="69"/>
        <v/>
      </c>
      <c r="AX333" s="111" t="str">
        <f t="shared" si="70"/>
        <v/>
      </c>
      <c r="AY333" s="111" t="str">
        <f t="shared" si="71"/>
        <v/>
      </c>
      <c r="AZ333" s="141"/>
      <c r="BA333" s="153" t="str">
        <f t="shared" si="72"/>
        <v>Débil</v>
      </c>
      <c r="BB333" s="22" t="str">
        <f>IFERROR(VLOOKUP((CONCATENATE(AY333,BA333)),Listados!$U$3:$V$11,2,FALSE),"")</f>
        <v/>
      </c>
      <c r="BC333" s="111">
        <f t="shared" si="73"/>
        <v>100</v>
      </c>
      <c r="BD333" s="717"/>
      <c r="BE333" s="761"/>
      <c r="BF333" s="717"/>
      <c r="BG333" s="717"/>
      <c r="BH333" s="713"/>
      <c r="BI333" s="715"/>
      <c r="BJ333" s="713"/>
      <c r="BK333" s="713"/>
      <c r="BL333" s="799"/>
      <c r="BM333" s="800"/>
      <c r="BN333" s="801"/>
      <c r="BO333" s="799"/>
      <c r="BP333" s="800"/>
      <c r="BQ333" s="801"/>
      <c r="BR333" s="799"/>
      <c r="BS333" s="800"/>
      <c r="BT333" s="801"/>
    </row>
    <row r="334" spans="1:72" ht="15" thickBot="1">
      <c r="A334" s="724"/>
      <c r="B334" s="777"/>
      <c r="C334" s="730"/>
      <c r="D334" s="736"/>
      <c r="E334" s="755"/>
      <c r="F334" s="769"/>
      <c r="G334" s="736"/>
      <c r="H334" s="764"/>
      <c r="I334" s="764"/>
      <c r="J334" s="764"/>
      <c r="K334" s="764"/>
      <c r="L334" s="764"/>
      <c r="M334" s="764"/>
      <c r="N334" s="764"/>
      <c r="O334" s="764"/>
      <c r="P334" s="764"/>
      <c r="Q334" s="764"/>
      <c r="R334" s="764"/>
      <c r="S334" s="764"/>
      <c r="T334" s="764"/>
      <c r="U334" s="764"/>
      <c r="V334" s="764"/>
      <c r="W334" s="764"/>
      <c r="X334" s="764"/>
      <c r="Y334" s="764"/>
      <c r="Z334" s="727"/>
      <c r="AA334" s="722"/>
      <c r="AB334" s="727"/>
      <c r="AC334" s="720"/>
      <c r="AD334" s="722" t="str">
        <f>+IF(OR(AB334=1,AB334&lt;=5),"Moderado",IF(OR(AB334=6,AB334&lt;=11),"Mayor","Catastrófico"))</f>
        <v>Moderado</v>
      </c>
      <c r="AE334" s="720"/>
      <c r="AF334" s="715"/>
      <c r="AG334" s="52" t="s">
        <v>467</v>
      </c>
      <c r="AH334" s="145"/>
      <c r="AI334" s="145"/>
      <c r="AJ334" s="145"/>
      <c r="AK334" s="28" t="str">
        <f t="shared" si="63"/>
        <v/>
      </c>
      <c r="AL334" s="145"/>
      <c r="AM334" s="28" t="str">
        <f t="shared" si="64"/>
        <v/>
      </c>
      <c r="AN334" s="140"/>
      <c r="AO334" s="28" t="str">
        <f t="shared" si="65"/>
        <v/>
      </c>
      <c r="AP334" s="140"/>
      <c r="AQ334" s="28" t="str">
        <f t="shared" si="66"/>
        <v/>
      </c>
      <c r="AR334" s="140"/>
      <c r="AS334" s="28" t="str">
        <f t="shared" si="67"/>
        <v/>
      </c>
      <c r="AT334" s="140"/>
      <c r="AU334" s="28" t="str">
        <f t="shared" si="68"/>
        <v/>
      </c>
      <c r="AV334" s="140"/>
      <c r="AW334" s="28" t="str">
        <f t="shared" si="69"/>
        <v/>
      </c>
      <c r="AX334" s="111" t="str">
        <f t="shared" si="70"/>
        <v/>
      </c>
      <c r="AY334" s="111" t="str">
        <f t="shared" si="71"/>
        <v/>
      </c>
      <c r="AZ334" s="141"/>
      <c r="BA334" s="153" t="str">
        <f t="shared" si="72"/>
        <v>Débil</v>
      </c>
      <c r="BB334" s="22" t="str">
        <f>IFERROR(VLOOKUP((CONCATENATE(AY334,BA334)),Listados!$U$3:$V$11,2,FALSE),"")</f>
        <v/>
      </c>
      <c r="BC334" s="111">
        <f t="shared" si="73"/>
        <v>100</v>
      </c>
      <c r="BD334" s="717"/>
      <c r="BE334" s="761"/>
      <c r="BF334" s="717"/>
      <c r="BG334" s="717"/>
      <c r="BH334" s="713"/>
      <c r="BI334" s="715"/>
      <c r="BJ334" s="713"/>
      <c r="BK334" s="713"/>
      <c r="BL334" s="799"/>
      <c r="BM334" s="800"/>
      <c r="BN334" s="801"/>
      <c r="BO334" s="799"/>
      <c r="BP334" s="800"/>
      <c r="BQ334" s="801"/>
      <c r="BR334" s="799"/>
      <c r="BS334" s="800"/>
      <c r="BT334" s="801"/>
    </row>
    <row r="335" spans="1:72" ht="15" thickBot="1">
      <c r="A335" s="724"/>
      <c r="B335" s="777"/>
      <c r="C335" s="730"/>
      <c r="D335" s="736"/>
      <c r="E335" s="756"/>
      <c r="F335" s="770"/>
      <c r="G335" s="736"/>
      <c r="H335" s="764"/>
      <c r="I335" s="764"/>
      <c r="J335" s="764"/>
      <c r="K335" s="764"/>
      <c r="L335" s="764"/>
      <c r="M335" s="764"/>
      <c r="N335" s="764"/>
      <c r="O335" s="764"/>
      <c r="P335" s="764"/>
      <c r="Q335" s="764"/>
      <c r="R335" s="764"/>
      <c r="S335" s="764"/>
      <c r="T335" s="764"/>
      <c r="U335" s="764"/>
      <c r="V335" s="764"/>
      <c r="W335" s="764"/>
      <c r="X335" s="764"/>
      <c r="Y335" s="764"/>
      <c r="Z335" s="727"/>
      <c r="AA335" s="722"/>
      <c r="AB335" s="727"/>
      <c r="AC335" s="720"/>
      <c r="AD335" s="722" t="str">
        <f>+IF(OR(AB335=1,AB335&lt;=5),"Moderado",IF(OR(AB335=6,AB335&lt;=11),"Mayor","Catastrófico"))</f>
        <v>Moderado</v>
      </c>
      <c r="AE335" s="720"/>
      <c r="AF335" s="715"/>
      <c r="AG335" s="52" t="s">
        <v>467</v>
      </c>
      <c r="AH335" s="145"/>
      <c r="AI335" s="145"/>
      <c r="AJ335" s="145"/>
      <c r="AK335" s="28" t="str">
        <f t="shared" si="63"/>
        <v/>
      </c>
      <c r="AL335" s="145"/>
      <c r="AM335" s="28" t="str">
        <f t="shared" si="64"/>
        <v/>
      </c>
      <c r="AN335" s="140"/>
      <c r="AO335" s="28" t="str">
        <f t="shared" si="65"/>
        <v/>
      </c>
      <c r="AP335" s="140"/>
      <c r="AQ335" s="28" t="str">
        <f t="shared" si="66"/>
        <v/>
      </c>
      <c r="AR335" s="140"/>
      <c r="AS335" s="28" t="str">
        <f t="shared" si="67"/>
        <v/>
      </c>
      <c r="AT335" s="140"/>
      <c r="AU335" s="28" t="str">
        <f t="shared" si="68"/>
        <v/>
      </c>
      <c r="AV335" s="140"/>
      <c r="AW335" s="28" t="str">
        <f t="shared" si="69"/>
        <v/>
      </c>
      <c r="AX335" s="111" t="str">
        <f t="shared" si="70"/>
        <v/>
      </c>
      <c r="AY335" s="111" t="str">
        <f t="shared" si="71"/>
        <v/>
      </c>
      <c r="AZ335" s="141"/>
      <c r="BA335" s="153" t="str">
        <f t="shared" si="72"/>
        <v>Débil</v>
      </c>
      <c r="BB335" s="22" t="str">
        <f>IFERROR(VLOOKUP((CONCATENATE(AY335,BA335)),Listados!$U$3:$V$11,2,FALSE),"")</f>
        <v/>
      </c>
      <c r="BC335" s="111">
        <f t="shared" si="73"/>
        <v>100</v>
      </c>
      <c r="BD335" s="717"/>
      <c r="BE335" s="761"/>
      <c r="BF335" s="717"/>
      <c r="BG335" s="717"/>
      <c r="BH335" s="713"/>
      <c r="BI335" s="715"/>
      <c r="BJ335" s="713"/>
      <c r="BK335" s="713"/>
      <c r="BL335" s="799"/>
      <c r="BM335" s="800"/>
      <c r="BN335" s="801"/>
      <c r="BO335" s="799"/>
      <c r="BP335" s="800"/>
      <c r="BQ335" s="801"/>
      <c r="BR335" s="799"/>
      <c r="BS335" s="800"/>
      <c r="BT335" s="801"/>
    </row>
    <row r="336" spans="1:72" ht="15" thickBot="1">
      <c r="A336" s="725"/>
      <c r="B336" s="777"/>
      <c r="C336" s="731"/>
      <c r="D336" s="781"/>
      <c r="E336" s="757"/>
      <c r="F336" s="771"/>
      <c r="G336" s="736"/>
      <c r="H336" s="764"/>
      <c r="I336" s="764"/>
      <c r="J336" s="764"/>
      <c r="K336" s="764"/>
      <c r="L336" s="764"/>
      <c r="M336" s="764"/>
      <c r="N336" s="764"/>
      <c r="O336" s="764"/>
      <c r="P336" s="764"/>
      <c r="Q336" s="764"/>
      <c r="R336" s="764"/>
      <c r="S336" s="764"/>
      <c r="T336" s="764"/>
      <c r="U336" s="764"/>
      <c r="V336" s="764"/>
      <c r="W336" s="764"/>
      <c r="X336" s="764"/>
      <c r="Y336" s="764"/>
      <c r="Z336" s="727"/>
      <c r="AA336" s="722"/>
      <c r="AB336" s="727"/>
      <c r="AC336" s="721"/>
      <c r="AD336" s="722" t="str">
        <f>+IF(OR(AB336=1,AB336&lt;=5),"Moderado",IF(OR(AB336=6,AB336&lt;=11),"Mayor","Catastrófico"))</f>
        <v>Moderado</v>
      </c>
      <c r="AE336" s="721"/>
      <c r="AF336" s="715"/>
      <c r="AG336" s="52" t="s">
        <v>467</v>
      </c>
      <c r="AH336" s="145"/>
      <c r="AI336" s="145"/>
      <c r="AJ336" s="145"/>
      <c r="AK336" s="28" t="str">
        <f t="shared" si="63"/>
        <v/>
      </c>
      <c r="AL336" s="145"/>
      <c r="AM336" s="28" t="str">
        <f t="shared" si="64"/>
        <v/>
      </c>
      <c r="AN336" s="140"/>
      <c r="AO336" s="28" t="str">
        <f t="shared" si="65"/>
        <v/>
      </c>
      <c r="AP336" s="140"/>
      <c r="AQ336" s="28" t="str">
        <f t="shared" si="66"/>
        <v/>
      </c>
      <c r="AR336" s="140"/>
      <c r="AS336" s="28" t="str">
        <f t="shared" si="67"/>
        <v/>
      </c>
      <c r="AT336" s="140"/>
      <c r="AU336" s="28" t="str">
        <f t="shared" si="68"/>
        <v/>
      </c>
      <c r="AV336" s="140"/>
      <c r="AW336" s="28" t="str">
        <f t="shared" si="69"/>
        <v/>
      </c>
      <c r="AX336" s="111" t="str">
        <f t="shared" si="70"/>
        <v/>
      </c>
      <c r="AY336" s="111" t="str">
        <f t="shared" si="71"/>
        <v/>
      </c>
      <c r="AZ336" s="141"/>
      <c r="BA336" s="153" t="str">
        <f t="shared" si="72"/>
        <v>Débil</v>
      </c>
      <c r="BB336" s="22" t="str">
        <f>IFERROR(VLOOKUP((CONCATENATE(AY336,BA336)),Listados!$U$3:$V$11,2,FALSE),"")</f>
        <v/>
      </c>
      <c r="BC336" s="111">
        <f t="shared" si="73"/>
        <v>100</v>
      </c>
      <c r="BD336" s="718"/>
      <c r="BE336" s="761"/>
      <c r="BF336" s="718"/>
      <c r="BG336" s="718"/>
      <c r="BH336" s="714"/>
      <c r="BI336" s="715"/>
      <c r="BJ336" s="714"/>
      <c r="BK336" s="714"/>
      <c r="BL336" s="799"/>
      <c r="BM336" s="800"/>
      <c r="BN336" s="801"/>
      <c r="BO336" s="799"/>
      <c r="BP336" s="800"/>
      <c r="BQ336" s="801"/>
      <c r="BR336" s="799"/>
      <c r="BS336" s="800"/>
      <c r="BT336" s="801"/>
    </row>
    <row r="337" spans="1:72" ht="15" thickBot="1">
      <c r="A337" s="723">
        <v>56</v>
      </c>
      <c r="B337" s="776"/>
      <c r="C337" s="729" t="str">
        <f>IFERROR(VLOOKUP(B337,Listados!B$3:C$20,2,FALSE),"")</f>
        <v/>
      </c>
      <c r="D337" s="735" t="s">
        <v>584</v>
      </c>
      <c r="E337" s="105"/>
      <c r="F337" s="18"/>
      <c r="G337" s="735"/>
      <c r="H337" s="763"/>
      <c r="I337" s="763"/>
      <c r="J337" s="763"/>
      <c r="K337" s="763"/>
      <c r="L337" s="763"/>
      <c r="M337" s="763"/>
      <c r="N337" s="763"/>
      <c r="O337" s="763"/>
      <c r="P337" s="763"/>
      <c r="Q337" s="763"/>
      <c r="R337" s="763"/>
      <c r="S337" s="763"/>
      <c r="T337" s="763"/>
      <c r="U337" s="763"/>
      <c r="V337" s="763"/>
      <c r="W337" s="763"/>
      <c r="X337" s="763"/>
      <c r="Y337" s="763"/>
      <c r="Z337" s="762"/>
      <c r="AA337" s="721">
        <f>COUNTIF(H337:Z342, "SI")</f>
        <v>0</v>
      </c>
      <c r="AB337" s="762"/>
      <c r="AC337" s="719" t="e">
        <f>+VLOOKUP(AB337,Listados!$K$8:$L$12,2,0)</f>
        <v>#N/A</v>
      </c>
      <c r="AD337" s="721" t="str">
        <f>+IF(OR(AA337=1,AA337&lt;=5),"Moderado",IF(OR(AA337=6,AA337&lt;=11),"Mayor","Catastrófico"))</f>
        <v>Moderado</v>
      </c>
      <c r="AE337" s="719" t="e">
        <f>+VLOOKUP(AD337,Listados!K343:L347,2,0)</f>
        <v>#N/A</v>
      </c>
      <c r="AF337" s="714" t="str">
        <f>IF(AND(AB337&lt;&gt;"",AD337&lt;&gt;""),VLOOKUP(AB337&amp;AD337,Listados!$M$3:$N$27,2,FALSE),"")</f>
        <v/>
      </c>
      <c r="AG337" s="52" t="s">
        <v>467</v>
      </c>
      <c r="AH337" s="145"/>
      <c r="AI337" s="145"/>
      <c r="AJ337" s="145"/>
      <c r="AK337" s="28" t="str">
        <f t="shared" si="63"/>
        <v/>
      </c>
      <c r="AL337" s="145"/>
      <c r="AM337" s="28" t="str">
        <f t="shared" si="64"/>
        <v/>
      </c>
      <c r="AN337" s="140"/>
      <c r="AO337" s="28" t="str">
        <f t="shared" si="65"/>
        <v/>
      </c>
      <c r="AP337" s="140"/>
      <c r="AQ337" s="28" t="str">
        <f t="shared" si="66"/>
        <v/>
      </c>
      <c r="AR337" s="140"/>
      <c r="AS337" s="28" t="str">
        <f t="shared" si="67"/>
        <v/>
      </c>
      <c r="AT337" s="140"/>
      <c r="AU337" s="28" t="str">
        <f t="shared" si="68"/>
        <v/>
      </c>
      <c r="AV337" s="140"/>
      <c r="AW337" s="28" t="str">
        <f t="shared" si="69"/>
        <v/>
      </c>
      <c r="AX337" s="111" t="str">
        <f t="shared" si="70"/>
        <v/>
      </c>
      <c r="AY337" s="111" t="str">
        <f t="shared" si="71"/>
        <v/>
      </c>
      <c r="AZ337" s="141"/>
      <c r="BA337" s="153" t="str">
        <f t="shared" si="72"/>
        <v>Débil</v>
      </c>
      <c r="BB337" s="22" t="str">
        <f>IFERROR(VLOOKUP((CONCATENATE(AY337,BA337)),Listados!$U$3:$V$11,2,FALSE),"")</f>
        <v/>
      </c>
      <c r="BC337" s="111">
        <f t="shared" si="73"/>
        <v>100</v>
      </c>
      <c r="BD337" s="716">
        <f>AVERAGE(BC337:BC342)</f>
        <v>100</v>
      </c>
      <c r="BE337" s="718" t="str">
        <f>IF(BD337&lt;=50, "Débil", IF(BD337&lt;=99,"Moderado","Fuerte"))</f>
        <v>Fuerte</v>
      </c>
      <c r="BF337" s="716">
        <f>+IF(BE337="Fuerte",2,IF(BE337="Moderado",1,0))</f>
        <v>2</v>
      </c>
      <c r="BG337" s="716" t="e">
        <f>+AC337-BF337</f>
        <v>#N/A</v>
      </c>
      <c r="BH337" s="712" t="e">
        <f>+VLOOKUP(BG337,Listados!$J$18:$K$24,2,TRUE)</f>
        <v>#N/A</v>
      </c>
      <c r="BI337" s="714" t="str">
        <f>IF(ISBLANK(AD337),"",AD337)</f>
        <v>Moderado</v>
      </c>
      <c r="BJ337" s="712" t="e">
        <f>IF(AND(BH337&lt;&gt;"",BI337&lt;&gt;""),VLOOKUP(BH337&amp;BI337,Listados!$M$3:$N$27,2,FALSE),"")</f>
        <v>#N/A</v>
      </c>
      <c r="BK337" s="712" t="e">
        <f>+VLOOKUP(BJ337,Listados!$P$3:$Q$6,2,FALSE)</f>
        <v>#N/A</v>
      </c>
      <c r="BL337" s="799"/>
      <c r="BM337" s="800"/>
      <c r="BN337" s="801"/>
      <c r="BO337" s="799"/>
      <c r="BP337" s="800"/>
      <c r="BQ337" s="801"/>
      <c r="BR337" s="799"/>
      <c r="BS337" s="800"/>
      <c r="BT337" s="801"/>
    </row>
    <row r="338" spans="1:72" ht="15" thickBot="1">
      <c r="A338" s="724"/>
      <c r="B338" s="777"/>
      <c r="C338" s="730"/>
      <c r="D338" s="736"/>
      <c r="E338" s="161"/>
      <c r="F338" s="150"/>
      <c r="G338" s="736"/>
      <c r="H338" s="764"/>
      <c r="I338" s="764"/>
      <c r="J338" s="764"/>
      <c r="K338" s="764"/>
      <c r="L338" s="764"/>
      <c r="M338" s="764"/>
      <c r="N338" s="764"/>
      <c r="O338" s="764"/>
      <c r="P338" s="764"/>
      <c r="Q338" s="764"/>
      <c r="R338" s="764"/>
      <c r="S338" s="764"/>
      <c r="T338" s="764"/>
      <c r="U338" s="764"/>
      <c r="V338" s="764"/>
      <c r="W338" s="764"/>
      <c r="X338" s="764"/>
      <c r="Y338" s="764"/>
      <c r="Z338" s="727"/>
      <c r="AA338" s="722"/>
      <c r="AB338" s="727"/>
      <c r="AC338" s="720"/>
      <c r="AD338" s="722" t="str">
        <f>+IF(OR(AB338=1,AB338&lt;=5),"Moderado",IF(OR(AB338=6,AB338&lt;=11),"Mayor","Catastrófico"))</f>
        <v>Moderado</v>
      </c>
      <c r="AE338" s="720"/>
      <c r="AF338" s="715"/>
      <c r="AG338" s="52" t="s">
        <v>467</v>
      </c>
      <c r="AH338" s="145"/>
      <c r="AI338" s="145"/>
      <c r="AJ338" s="145"/>
      <c r="AK338" s="28" t="str">
        <f t="shared" si="63"/>
        <v/>
      </c>
      <c r="AL338" s="145"/>
      <c r="AM338" s="28" t="str">
        <f t="shared" si="64"/>
        <v/>
      </c>
      <c r="AN338" s="140"/>
      <c r="AO338" s="28" t="str">
        <f t="shared" si="65"/>
        <v/>
      </c>
      <c r="AP338" s="140"/>
      <c r="AQ338" s="28" t="str">
        <f t="shared" si="66"/>
        <v/>
      </c>
      <c r="AR338" s="140"/>
      <c r="AS338" s="28" t="str">
        <f t="shared" si="67"/>
        <v/>
      </c>
      <c r="AT338" s="140"/>
      <c r="AU338" s="28" t="str">
        <f t="shared" si="68"/>
        <v/>
      </c>
      <c r="AV338" s="140"/>
      <c r="AW338" s="28" t="str">
        <f t="shared" si="69"/>
        <v/>
      </c>
      <c r="AX338" s="111" t="str">
        <f t="shared" si="70"/>
        <v/>
      </c>
      <c r="AY338" s="111" t="str">
        <f t="shared" si="71"/>
        <v/>
      </c>
      <c r="AZ338" s="141"/>
      <c r="BA338" s="153" t="str">
        <f t="shared" si="72"/>
        <v>Débil</v>
      </c>
      <c r="BB338" s="22" t="str">
        <f>IFERROR(VLOOKUP((CONCATENATE(AY338,BA338)),Listados!$U$3:$V$11,2,FALSE),"")</f>
        <v/>
      </c>
      <c r="BC338" s="111">
        <f t="shared" si="73"/>
        <v>100</v>
      </c>
      <c r="BD338" s="717"/>
      <c r="BE338" s="761"/>
      <c r="BF338" s="717"/>
      <c r="BG338" s="717"/>
      <c r="BH338" s="713"/>
      <c r="BI338" s="715"/>
      <c r="BJ338" s="713"/>
      <c r="BK338" s="713"/>
      <c r="BL338" s="799"/>
      <c r="BM338" s="800"/>
      <c r="BN338" s="801"/>
      <c r="BO338" s="799"/>
      <c r="BP338" s="800"/>
      <c r="BQ338" s="801"/>
      <c r="BR338" s="799"/>
      <c r="BS338" s="800"/>
      <c r="BT338" s="801"/>
    </row>
    <row r="339" spans="1:72" ht="15" thickBot="1">
      <c r="A339" s="724"/>
      <c r="B339" s="777"/>
      <c r="C339" s="730"/>
      <c r="D339" s="736"/>
      <c r="E339" s="161"/>
      <c r="F339" s="150"/>
      <c r="G339" s="736"/>
      <c r="H339" s="764"/>
      <c r="I339" s="764"/>
      <c r="J339" s="764"/>
      <c r="K339" s="764"/>
      <c r="L339" s="764"/>
      <c r="M339" s="764"/>
      <c r="N339" s="764"/>
      <c r="O339" s="764"/>
      <c r="P339" s="764"/>
      <c r="Q339" s="764"/>
      <c r="R339" s="764"/>
      <c r="S339" s="764"/>
      <c r="T339" s="764"/>
      <c r="U339" s="764"/>
      <c r="V339" s="764"/>
      <c r="W339" s="764"/>
      <c r="X339" s="764"/>
      <c r="Y339" s="764"/>
      <c r="Z339" s="727"/>
      <c r="AA339" s="722"/>
      <c r="AB339" s="727"/>
      <c r="AC339" s="720"/>
      <c r="AD339" s="722" t="str">
        <f>+IF(OR(AB339=1,AB339&lt;=5),"Moderado",IF(OR(AB339=6,AB339&lt;=11),"Mayor","Catastrófico"))</f>
        <v>Moderado</v>
      </c>
      <c r="AE339" s="720"/>
      <c r="AF339" s="715"/>
      <c r="AG339" s="52" t="s">
        <v>467</v>
      </c>
      <c r="AH339" s="145"/>
      <c r="AI339" s="145"/>
      <c r="AJ339" s="145"/>
      <c r="AK339" s="28" t="str">
        <f t="shared" si="63"/>
        <v/>
      </c>
      <c r="AL339" s="145"/>
      <c r="AM339" s="28" t="str">
        <f t="shared" si="64"/>
        <v/>
      </c>
      <c r="AN339" s="140"/>
      <c r="AO339" s="28" t="str">
        <f t="shared" si="65"/>
        <v/>
      </c>
      <c r="AP339" s="140"/>
      <c r="AQ339" s="28" t="str">
        <f t="shared" si="66"/>
        <v/>
      </c>
      <c r="AR339" s="140"/>
      <c r="AS339" s="28" t="str">
        <f t="shared" si="67"/>
        <v/>
      </c>
      <c r="AT339" s="140"/>
      <c r="AU339" s="28" t="str">
        <f t="shared" si="68"/>
        <v/>
      </c>
      <c r="AV339" s="140"/>
      <c r="AW339" s="28" t="str">
        <f t="shared" si="69"/>
        <v/>
      </c>
      <c r="AX339" s="111" t="str">
        <f t="shared" si="70"/>
        <v/>
      </c>
      <c r="AY339" s="111" t="str">
        <f t="shared" si="71"/>
        <v/>
      </c>
      <c r="AZ339" s="141"/>
      <c r="BA339" s="153" t="str">
        <f t="shared" si="72"/>
        <v>Débil</v>
      </c>
      <c r="BB339" s="22" t="str">
        <f>IFERROR(VLOOKUP((CONCATENATE(AY339,BA339)),Listados!$U$3:$V$11,2,FALSE),"")</f>
        <v/>
      </c>
      <c r="BC339" s="111">
        <f t="shared" si="73"/>
        <v>100</v>
      </c>
      <c r="BD339" s="717"/>
      <c r="BE339" s="761"/>
      <c r="BF339" s="717"/>
      <c r="BG339" s="717"/>
      <c r="BH339" s="713"/>
      <c r="BI339" s="715"/>
      <c r="BJ339" s="713"/>
      <c r="BK339" s="713"/>
      <c r="BL339" s="799"/>
      <c r="BM339" s="800"/>
      <c r="BN339" s="801"/>
      <c r="BO339" s="799"/>
      <c r="BP339" s="800"/>
      <c r="BQ339" s="801"/>
      <c r="BR339" s="799"/>
      <c r="BS339" s="800"/>
      <c r="BT339" s="801"/>
    </row>
    <row r="340" spans="1:72" ht="15" thickBot="1">
      <c r="A340" s="724"/>
      <c r="B340" s="777"/>
      <c r="C340" s="730"/>
      <c r="D340" s="736"/>
      <c r="E340" s="755"/>
      <c r="F340" s="769"/>
      <c r="G340" s="736"/>
      <c r="H340" s="764"/>
      <c r="I340" s="764"/>
      <c r="J340" s="764"/>
      <c r="K340" s="764"/>
      <c r="L340" s="764"/>
      <c r="M340" s="764"/>
      <c r="N340" s="764"/>
      <c r="O340" s="764"/>
      <c r="P340" s="764"/>
      <c r="Q340" s="764"/>
      <c r="R340" s="764"/>
      <c r="S340" s="764"/>
      <c r="T340" s="764"/>
      <c r="U340" s="764"/>
      <c r="V340" s="764"/>
      <c r="W340" s="764"/>
      <c r="X340" s="764"/>
      <c r="Y340" s="764"/>
      <c r="Z340" s="727"/>
      <c r="AA340" s="722"/>
      <c r="AB340" s="727"/>
      <c r="AC340" s="720"/>
      <c r="AD340" s="722" t="str">
        <f>+IF(OR(AB340=1,AB340&lt;=5),"Moderado",IF(OR(AB340=6,AB340&lt;=11),"Mayor","Catastrófico"))</f>
        <v>Moderado</v>
      </c>
      <c r="AE340" s="720"/>
      <c r="AF340" s="715"/>
      <c r="AG340" s="52" t="s">
        <v>467</v>
      </c>
      <c r="AH340" s="145"/>
      <c r="AI340" s="145"/>
      <c r="AJ340" s="145"/>
      <c r="AK340" s="28" t="str">
        <f t="shared" si="63"/>
        <v/>
      </c>
      <c r="AL340" s="145"/>
      <c r="AM340" s="28" t="str">
        <f t="shared" si="64"/>
        <v/>
      </c>
      <c r="AN340" s="140"/>
      <c r="AO340" s="28" t="str">
        <f t="shared" si="65"/>
        <v/>
      </c>
      <c r="AP340" s="140"/>
      <c r="AQ340" s="28" t="str">
        <f t="shared" si="66"/>
        <v/>
      </c>
      <c r="AR340" s="140"/>
      <c r="AS340" s="28" t="str">
        <f t="shared" si="67"/>
        <v/>
      </c>
      <c r="AT340" s="140"/>
      <c r="AU340" s="28" t="str">
        <f t="shared" si="68"/>
        <v/>
      </c>
      <c r="AV340" s="140"/>
      <c r="AW340" s="28" t="str">
        <f t="shared" si="69"/>
        <v/>
      </c>
      <c r="AX340" s="111" t="str">
        <f t="shared" si="70"/>
        <v/>
      </c>
      <c r="AY340" s="111" t="str">
        <f t="shared" si="71"/>
        <v/>
      </c>
      <c r="AZ340" s="141"/>
      <c r="BA340" s="153" t="str">
        <f t="shared" si="72"/>
        <v>Débil</v>
      </c>
      <c r="BB340" s="22" t="str">
        <f>IFERROR(VLOOKUP((CONCATENATE(AY340,BA340)),Listados!$U$3:$V$11,2,FALSE),"")</f>
        <v/>
      </c>
      <c r="BC340" s="111">
        <f t="shared" si="73"/>
        <v>100</v>
      </c>
      <c r="BD340" s="717"/>
      <c r="BE340" s="761"/>
      <c r="BF340" s="717"/>
      <c r="BG340" s="717"/>
      <c r="BH340" s="713"/>
      <c r="BI340" s="715"/>
      <c r="BJ340" s="713"/>
      <c r="BK340" s="713"/>
      <c r="BL340" s="799"/>
      <c r="BM340" s="800"/>
      <c r="BN340" s="801"/>
      <c r="BO340" s="799"/>
      <c r="BP340" s="800"/>
      <c r="BQ340" s="801"/>
      <c r="BR340" s="799"/>
      <c r="BS340" s="800"/>
      <c r="BT340" s="801"/>
    </row>
    <row r="341" spans="1:72" ht="15" thickBot="1">
      <c r="A341" s="724"/>
      <c r="B341" s="777"/>
      <c r="C341" s="730"/>
      <c r="D341" s="736"/>
      <c r="E341" s="756"/>
      <c r="F341" s="770"/>
      <c r="G341" s="736"/>
      <c r="H341" s="764"/>
      <c r="I341" s="764"/>
      <c r="J341" s="764"/>
      <c r="K341" s="764"/>
      <c r="L341" s="764"/>
      <c r="M341" s="764"/>
      <c r="N341" s="764"/>
      <c r="O341" s="764"/>
      <c r="P341" s="764"/>
      <c r="Q341" s="764"/>
      <c r="R341" s="764"/>
      <c r="S341" s="764"/>
      <c r="T341" s="764"/>
      <c r="U341" s="764"/>
      <c r="V341" s="764"/>
      <c r="W341" s="764"/>
      <c r="X341" s="764"/>
      <c r="Y341" s="764"/>
      <c r="Z341" s="727"/>
      <c r="AA341" s="722"/>
      <c r="AB341" s="727"/>
      <c r="AC341" s="720"/>
      <c r="AD341" s="722" t="str">
        <f>+IF(OR(AB341=1,AB341&lt;=5),"Moderado",IF(OR(AB341=6,AB341&lt;=11),"Mayor","Catastrófico"))</f>
        <v>Moderado</v>
      </c>
      <c r="AE341" s="720"/>
      <c r="AF341" s="715"/>
      <c r="AG341" s="52" t="s">
        <v>467</v>
      </c>
      <c r="AH341" s="145"/>
      <c r="AI341" s="145"/>
      <c r="AJ341" s="145"/>
      <c r="AK341" s="28" t="str">
        <f t="shared" si="63"/>
        <v/>
      </c>
      <c r="AL341" s="145"/>
      <c r="AM341" s="28" t="str">
        <f t="shared" si="64"/>
        <v/>
      </c>
      <c r="AN341" s="140"/>
      <c r="AO341" s="28" t="str">
        <f t="shared" si="65"/>
        <v/>
      </c>
      <c r="AP341" s="140"/>
      <c r="AQ341" s="28" t="str">
        <f t="shared" si="66"/>
        <v/>
      </c>
      <c r="AR341" s="140"/>
      <c r="AS341" s="28" t="str">
        <f t="shared" si="67"/>
        <v/>
      </c>
      <c r="AT341" s="140"/>
      <c r="AU341" s="28" t="str">
        <f t="shared" si="68"/>
        <v/>
      </c>
      <c r="AV341" s="140"/>
      <c r="AW341" s="28" t="str">
        <f t="shared" si="69"/>
        <v/>
      </c>
      <c r="AX341" s="111" t="str">
        <f t="shared" si="70"/>
        <v/>
      </c>
      <c r="AY341" s="111" t="str">
        <f t="shared" si="71"/>
        <v/>
      </c>
      <c r="AZ341" s="141"/>
      <c r="BA341" s="153" t="str">
        <f t="shared" si="72"/>
        <v>Débil</v>
      </c>
      <c r="BB341" s="22" t="str">
        <f>IFERROR(VLOOKUP((CONCATENATE(AY341,BA341)),Listados!$U$3:$V$11,2,FALSE),"")</f>
        <v/>
      </c>
      <c r="BC341" s="111">
        <f t="shared" si="73"/>
        <v>100</v>
      </c>
      <c r="BD341" s="717"/>
      <c r="BE341" s="761"/>
      <c r="BF341" s="717"/>
      <c r="BG341" s="717"/>
      <c r="BH341" s="713"/>
      <c r="BI341" s="715"/>
      <c r="BJ341" s="713"/>
      <c r="BK341" s="713"/>
      <c r="BL341" s="799"/>
      <c r="BM341" s="800"/>
      <c r="BN341" s="801"/>
      <c r="BO341" s="799"/>
      <c r="BP341" s="800"/>
      <c r="BQ341" s="801"/>
      <c r="BR341" s="799"/>
      <c r="BS341" s="800"/>
      <c r="BT341" s="801"/>
    </row>
    <row r="342" spans="1:72" ht="15" thickBot="1">
      <c r="A342" s="725"/>
      <c r="B342" s="777"/>
      <c r="C342" s="731"/>
      <c r="D342" s="781"/>
      <c r="E342" s="757"/>
      <c r="F342" s="771"/>
      <c r="G342" s="736"/>
      <c r="H342" s="764"/>
      <c r="I342" s="764"/>
      <c r="J342" s="764"/>
      <c r="K342" s="764"/>
      <c r="L342" s="764"/>
      <c r="M342" s="764"/>
      <c r="N342" s="764"/>
      <c r="O342" s="764"/>
      <c r="P342" s="764"/>
      <c r="Q342" s="764"/>
      <c r="R342" s="764"/>
      <c r="S342" s="764"/>
      <c r="T342" s="764"/>
      <c r="U342" s="764"/>
      <c r="V342" s="764"/>
      <c r="W342" s="764"/>
      <c r="X342" s="764"/>
      <c r="Y342" s="764"/>
      <c r="Z342" s="727"/>
      <c r="AA342" s="722"/>
      <c r="AB342" s="727"/>
      <c r="AC342" s="721"/>
      <c r="AD342" s="722" t="str">
        <f>+IF(OR(AB342=1,AB342&lt;=5),"Moderado",IF(OR(AB342=6,AB342&lt;=11),"Mayor","Catastrófico"))</f>
        <v>Moderado</v>
      </c>
      <c r="AE342" s="721"/>
      <c r="AF342" s="715"/>
      <c r="AG342" s="52" t="s">
        <v>467</v>
      </c>
      <c r="AH342" s="145"/>
      <c r="AI342" s="145"/>
      <c r="AJ342" s="145"/>
      <c r="AK342" s="28" t="str">
        <f t="shared" si="63"/>
        <v/>
      </c>
      <c r="AL342" s="145"/>
      <c r="AM342" s="28" t="str">
        <f t="shared" si="64"/>
        <v/>
      </c>
      <c r="AN342" s="140"/>
      <c r="AO342" s="28" t="str">
        <f t="shared" si="65"/>
        <v/>
      </c>
      <c r="AP342" s="140"/>
      <c r="AQ342" s="28" t="str">
        <f t="shared" si="66"/>
        <v/>
      </c>
      <c r="AR342" s="140"/>
      <c r="AS342" s="28" t="str">
        <f t="shared" si="67"/>
        <v/>
      </c>
      <c r="AT342" s="140"/>
      <c r="AU342" s="28" t="str">
        <f t="shared" si="68"/>
        <v/>
      </c>
      <c r="AV342" s="140"/>
      <c r="AW342" s="28" t="str">
        <f t="shared" si="69"/>
        <v/>
      </c>
      <c r="AX342" s="111" t="str">
        <f t="shared" si="70"/>
        <v/>
      </c>
      <c r="AY342" s="111" t="str">
        <f t="shared" si="71"/>
        <v/>
      </c>
      <c r="AZ342" s="141"/>
      <c r="BA342" s="153" t="str">
        <f t="shared" si="72"/>
        <v>Débil</v>
      </c>
      <c r="BB342" s="22" t="str">
        <f>IFERROR(VLOOKUP((CONCATENATE(AY342,BA342)),Listados!$U$3:$V$11,2,FALSE),"")</f>
        <v/>
      </c>
      <c r="BC342" s="111">
        <f t="shared" si="73"/>
        <v>100</v>
      </c>
      <c r="BD342" s="718"/>
      <c r="BE342" s="761"/>
      <c r="BF342" s="718"/>
      <c r="BG342" s="718"/>
      <c r="BH342" s="714"/>
      <c r="BI342" s="715"/>
      <c r="BJ342" s="714"/>
      <c r="BK342" s="714"/>
      <c r="BL342" s="799"/>
      <c r="BM342" s="800"/>
      <c r="BN342" s="801"/>
      <c r="BO342" s="799"/>
      <c r="BP342" s="800"/>
      <c r="BQ342" s="801"/>
      <c r="BR342" s="799"/>
      <c r="BS342" s="800"/>
      <c r="BT342" s="801"/>
    </row>
    <row r="343" spans="1:72" ht="15" thickBot="1">
      <c r="A343" s="723">
        <v>57</v>
      </c>
      <c r="B343" s="776"/>
      <c r="C343" s="729" t="str">
        <f>IFERROR(VLOOKUP(B343,Listados!B$3:C$20,2,FALSE),"")</f>
        <v/>
      </c>
      <c r="D343" s="735" t="s">
        <v>584</v>
      </c>
      <c r="E343" s="105"/>
      <c r="F343" s="18"/>
      <c r="G343" s="735"/>
      <c r="H343" s="763"/>
      <c r="I343" s="763"/>
      <c r="J343" s="763"/>
      <c r="K343" s="763"/>
      <c r="L343" s="763"/>
      <c r="M343" s="763"/>
      <c r="N343" s="763"/>
      <c r="O343" s="763"/>
      <c r="P343" s="763"/>
      <c r="Q343" s="763"/>
      <c r="R343" s="763"/>
      <c r="S343" s="763"/>
      <c r="T343" s="763"/>
      <c r="U343" s="763"/>
      <c r="V343" s="763"/>
      <c r="W343" s="763"/>
      <c r="X343" s="763"/>
      <c r="Y343" s="763"/>
      <c r="Z343" s="762"/>
      <c r="AA343" s="721">
        <f>COUNTIF(H343:Z348, "SI")</f>
        <v>0</v>
      </c>
      <c r="AB343" s="762"/>
      <c r="AC343" s="719" t="e">
        <f>+VLOOKUP(AB343,Listados!$K$8:$L$12,2,0)</f>
        <v>#N/A</v>
      </c>
      <c r="AD343" s="721" t="str">
        <f>+IF(OR(AA343=1,AA343&lt;=5),"Moderado",IF(OR(AA343=6,AA343&lt;=11),"Mayor","Catastrófico"))</f>
        <v>Moderado</v>
      </c>
      <c r="AE343" s="719" t="e">
        <f>+VLOOKUP(AD343,Listados!K349:L353,2,0)</f>
        <v>#N/A</v>
      </c>
      <c r="AF343" s="714" t="str">
        <f>IF(AND(AB343&lt;&gt;"",AD343&lt;&gt;""),VLOOKUP(AB343&amp;AD343,Listados!$M$3:$N$27,2,FALSE),"")</f>
        <v/>
      </c>
      <c r="AG343" s="52" t="s">
        <v>467</v>
      </c>
      <c r="AH343" s="145"/>
      <c r="AI343" s="145"/>
      <c r="AJ343" s="145"/>
      <c r="AK343" s="28" t="str">
        <f t="shared" si="63"/>
        <v/>
      </c>
      <c r="AL343" s="145"/>
      <c r="AM343" s="28" t="str">
        <f t="shared" si="64"/>
        <v/>
      </c>
      <c r="AN343" s="140"/>
      <c r="AO343" s="28" t="str">
        <f t="shared" si="65"/>
        <v/>
      </c>
      <c r="AP343" s="140"/>
      <c r="AQ343" s="28" t="str">
        <f t="shared" si="66"/>
        <v/>
      </c>
      <c r="AR343" s="140"/>
      <c r="AS343" s="28" t="str">
        <f t="shared" si="67"/>
        <v/>
      </c>
      <c r="AT343" s="140"/>
      <c r="AU343" s="28" t="str">
        <f t="shared" si="68"/>
        <v/>
      </c>
      <c r="AV343" s="140"/>
      <c r="AW343" s="28" t="str">
        <f t="shared" si="69"/>
        <v/>
      </c>
      <c r="AX343" s="111" t="str">
        <f t="shared" si="70"/>
        <v/>
      </c>
      <c r="AY343" s="111" t="str">
        <f t="shared" si="71"/>
        <v/>
      </c>
      <c r="AZ343" s="141"/>
      <c r="BA343" s="153" t="str">
        <f t="shared" si="72"/>
        <v>Débil</v>
      </c>
      <c r="BB343" s="22" t="str">
        <f>IFERROR(VLOOKUP((CONCATENATE(AY343,BA343)),Listados!$U$3:$V$11,2,FALSE),"")</f>
        <v/>
      </c>
      <c r="BC343" s="111">
        <f t="shared" si="73"/>
        <v>100</v>
      </c>
      <c r="BD343" s="716">
        <f>AVERAGE(BC343:BC348)</f>
        <v>100</v>
      </c>
      <c r="BE343" s="718" t="str">
        <f>IF(BD343&lt;=50, "Débil", IF(BD343&lt;=99,"Moderado","Fuerte"))</f>
        <v>Fuerte</v>
      </c>
      <c r="BF343" s="716">
        <f>+IF(BE343="Fuerte",2,IF(BE343="Moderado",1,0))</f>
        <v>2</v>
      </c>
      <c r="BG343" s="716" t="e">
        <f>+AC343-BF343</f>
        <v>#N/A</v>
      </c>
      <c r="BH343" s="712" t="e">
        <f>+VLOOKUP(BG343,Listados!$J$18:$K$24,2,TRUE)</f>
        <v>#N/A</v>
      </c>
      <c r="BI343" s="714" t="str">
        <f>IF(ISBLANK(AD343),"",AD343)</f>
        <v>Moderado</v>
      </c>
      <c r="BJ343" s="712" t="e">
        <f>IF(AND(BH343&lt;&gt;"",BI343&lt;&gt;""),VLOOKUP(BH343&amp;BI343,Listados!$M$3:$N$27,2,FALSE),"")</f>
        <v>#N/A</v>
      </c>
      <c r="BK343" s="712" t="e">
        <f>+VLOOKUP(BJ343,Listados!$P$3:$Q$6,2,FALSE)</f>
        <v>#N/A</v>
      </c>
      <c r="BL343" s="799"/>
      <c r="BM343" s="800"/>
      <c r="BN343" s="801"/>
      <c r="BO343" s="799"/>
      <c r="BP343" s="800"/>
      <c r="BQ343" s="801"/>
      <c r="BR343" s="799"/>
      <c r="BS343" s="800"/>
      <c r="BT343" s="801"/>
    </row>
    <row r="344" spans="1:72" ht="15" thickBot="1">
      <c r="A344" s="724"/>
      <c r="B344" s="777"/>
      <c r="C344" s="730"/>
      <c r="D344" s="736"/>
      <c r="E344" s="161"/>
      <c r="F344" s="150"/>
      <c r="G344" s="736"/>
      <c r="H344" s="764"/>
      <c r="I344" s="764"/>
      <c r="J344" s="764"/>
      <c r="K344" s="764"/>
      <c r="L344" s="764"/>
      <c r="M344" s="764"/>
      <c r="N344" s="764"/>
      <c r="O344" s="764"/>
      <c r="P344" s="764"/>
      <c r="Q344" s="764"/>
      <c r="R344" s="764"/>
      <c r="S344" s="764"/>
      <c r="T344" s="764"/>
      <c r="U344" s="764"/>
      <c r="V344" s="764"/>
      <c r="W344" s="764"/>
      <c r="X344" s="764"/>
      <c r="Y344" s="764"/>
      <c r="Z344" s="727"/>
      <c r="AA344" s="722"/>
      <c r="AB344" s="727"/>
      <c r="AC344" s="720"/>
      <c r="AD344" s="722" t="str">
        <f>+IF(OR(AB344=1,AB344&lt;=5),"Moderado",IF(OR(AB344=6,AB344&lt;=11),"Mayor","Catastrófico"))</f>
        <v>Moderado</v>
      </c>
      <c r="AE344" s="720"/>
      <c r="AF344" s="715"/>
      <c r="AG344" s="52" t="s">
        <v>467</v>
      </c>
      <c r="AH344" s="145"/>
      <c r="AI344" s="145"/>
      <c r="AJ344" s="145"/>
      <c r="AK344" s="28" t="str">
        <f t="shared" si="63"/>
        <v/>
      </c>
      <c r="AL344" s="145"/>
      <c r="AM344" s="28" t="str">
        <f t="shared" si="64"/>
        <v/>
      </c>
      <c r="AN344" s="140"/>
      <c r="AO344" s="28" t="str">
        <f t="shared" si="65"/>
        <v/>
      </c>
      <c r="AP344" s="140"/>
      <c r="AQ344" s="28" t="str">
        <f t="shared" si="66"/>
        <v/>
      </c>
      <c r="AR344" s="140"/>
      <c r="AS344" s="28" t="str">
        <f t="shared" si="67"/>
        <v/>
      </c>
      <c r="AT344" s="140"/>
      <c r="AU344" s="28" t="str">
        <f t="shared" si="68"/>
        <v/>
      </c>
      <c r="AV344" s="140"/>
      <c r="AW344" s="28" t="str">
        <f t="shared" si="69"/>
        <v/>
      </c>
      <c r="AX344" s="111" t="str">
        <f t="shared" si="70"/>
        <v/>
      </c>
      <c r="AY344" s="111" t="str">
        <f t="shared" si="71"/>
        <v/>
      </c>
      <c r="AZ344" s="141"/>
      <c r="BA344" s="153" t="str">
        <f t="shared" si="72"/>
        <v>Débil</v>
      </c>
      <c r="BB344" s="22" t="str">
        <f>IFERROR(VLOOKUP((CONCATENATE(AY344,BA344)),Listados!$U$3:$V$11,2,FALSE),"")</f>
        <v/>
      </c>
      <c r="BC344" s="111">
        <f t="shared" si="73"/>
        <v>100</v>
      </c>
      <c r="BD344" s="717"/>
      <c r="BE344" s="761"/>
      <c r="BF344" s="717"/>
      <c r="BG344" s="717"/>
      <c r="BH344" s="713"/>
      <c r="BI344" s="715"/>
      <c r="BJ344" s="713"/>
      <c r="BK344" s="713"/>
      <c r="BL344" s="799"/>
      <c r="BM344" s="800"/>
      <c r="BN344" s="801"/>
      <c r="BO344" s="799"/>
      <c r="BP344" s="800"/>
      <c r="BQ344" s="801"/>
      <c r="BR344" s="799"/>
      <c r="BS344" s="800"/>
      <c r="BT344" s="801"/>
    </row>
    <row r="345" spans="1:72" ht="15" thickBot="1">
      <c r="A345" s="724"/>
      <c r="B345" s="777"/>
      <c r="C345" s="730"/>
      <c r="D345" s="736"/>
      <c r="E345" s="161"/>
      <c r="F345" s="150"/>
      <c r="G345" s="736"/>
      <c r="H345" s="764"/>
      <c r="I345" s="764"/>
      <c r="J345" s="764"/>
      <c r="K345" s="764"/>
      <c r="L345" s="764"/>
      <c r="M345" s="764"/>
      <c r="N345" s="764"/>
      <c r="O345" s="764"/>
      <c r="P345" s="764"/>
      <c r="Q345" s="764"/>
      <c r="R345" s="764"/>
      <c r="S345" s="764"/>
      <c r="T345" s="764"/>
      <c r="U345" s="764"/>
      <c r="V345" s="764"/>
      <c r="W345" s="764"/>
      <c r="X345" s="764"/>
      <c r="Y345" s="764"/>
      <c r="Z345" s="727"/>
      <c r="AA345" s="722"/>
      <c r="AB345" s="727"/>
      <c r="AC345" s="720"/>
      <c r="AD345" s="722" t="str">
        <f>+IF(OR(AB345=1,AB345&lt;=5),"Moderado",IF(OR(AB345=6,AB345&lt;=11),"Mayor","Catastrófico"))</f>
        <v>Moderado</v>
      </c>
      <c r="AE345" s="720"/>
      <c r="AF345" s="715"/>
      <c r="AG345" s="52" t="s">
        <v>467</v>
      </c>
      <c r="AH345" s="145"/>
      <c r="AI345" s="145"/>
      <c r="AJ345" s="145"/>
      <c r="AK345" s="28" t="str">
        <f t="shared" si="63"/>
        <v/>
      </c>
      <c r="AL345" s="145"/>
      <c r="AM345" s="28" t="str">
        <f t="shared" si="64"/>
        <v/>
      </c>
      <c r="AN345" s="140"/>
      <c r="AO345" s="28" t="str">
        <f t="shared" si="65"/>
        <v/>
      </c>
      <c r="AP345" s="140"/>
      <c r="AQ345" s="28" t="str">
        <f t="shared" si="66"/>
        <v/>
      </c>
      <c r="AR345" s="140"/>
      <c r="AS345" s="28" t="str">
        <f t="shared" si="67"/>
        <v/>
      </c>
      <c r="AT345" s="140"/>
      <c r="AU345" s="28" t="str">
        <f t="shared" si="68"/>
        <v/>
      </c>
      <c r="AV345" s="140"/>
      <c r="AW345" s="28" t="str">
        <f t="shared" si="69"/>
        <v/>
      </c>
      <c r="AX345" s="111" t="str">
        <f t="shared" si="70"/>
        <v/>
      </c>
      <c r="AY345" s="111" t="str">
        <f t="shared" si="71"/>
        <v/>
      </c>
      <c r="AZ345" s="141"/>
      <c r="BA345" s="153" t="str">
        <f t="shared" si="72"/>
        <v>Débil</v>
      </c>
      <c r="BB345" s="22" t="str">
        <f>IFERROR(VLOOKUP((CONCATENATE(AY345,BA345)),Listados!$U$3:$V$11,2,FALSE),"")</f>
        <v/>
      </c>
      <c r="BC345" s="111">
        <f t="shared" si="73"/>
        <v>100</v>
      </c>
      <c r="BD345" s="717"/>
      <c r="BE345" s="761"/>
      <c r="BF345" s="717"/>
      <c r="BG345" s="717"/>
      <c r="BH345" s="713"/>
      <c r="BI345" s="715"/>
      <c r="BJ345" s="713"/>
      <c r="BK345" s="713"/>
      <c r="BL345" s="799"/>
      <c r="BM345" s="800"/>
      <c r="BN345" s="801"/>
      <c r="BO345" s="799"/>
      <c r="BP345" s="800"/>
      <c r="BQ345" s="801"/>
      <c r="BR345" s="799"/>
      <c r="BS345" s="800"/>
      <c r="BT345" s="801"/>
    </row>
    <row r="346" spans="1:72" ht="15" thickBot="1">
      <c r="A346" s="724"/>
      <c r="B346" s="777"/>
      <c r="C346" s="730"/>
      <c r="D346" s="736"/>
      <c r="E346" s="755"/>
      <c r="F346" s="769"/>
      <c r="G346" s="736"/>
      <c r="H346" s="764"/>
      <c r="I346" s="764"/>
      <c r="J346" s="764"/>
      <c r="K346" s="764"/>
      <c r="L346" s="764"/>
      <c r="M346" s="764"/>
      <c r="N346" s="764"/>
      <c r="O346" s="764"/>
      <c r="P346" s="764"/>
      <c r="Q346" s="764"/>
      <c r="R346" s="764"/>
      <c r="S346" s="764"/>
      <c r="T346" s="764"/>
      <c r="U346" s="764"/>
      <c r="V346" s="764"/>
      <c r="W346" s="764"/>
      <c r="X346" s="764"/>
      <c r="Y346" s="764"/>
      <c r="Z346" s="727"/>
      <c r="AA346" s="722"/>
      <c r="AB346" s="727"/>
      <c r="AC346" s="720"/>
      <c r="AD346" s="722" t="str">
        <f>+IF(OR(AB346=1,AB346&lt;=5),"Moderado",IF(OR(AB346=6,AB346&lt;=11),"Mayor","Catastrófico"))</f>
        <v>Moderado</v>
      </c>
      <c r="AE346" s="720"/>
      <c r="AF346" s="715"/>
      <c r="AG346" s="52" t="s">
        <v>467</v>
      </c>
      <c r="AH346" s="145"/>
      <c r="AI346" s="145"/>
      <c r="AJ346" s="145"/>
      <c r="AK346" s="28" t="str">
        <f t="shared" si="63"/>
        <v/>
      </c>
      <c r="AL346" s="145"/>
      <c r="AM346" s="28" t="str">
        <f t="shared" si="64"/>
        <v/>
      </c>
      <c r="AN346" s="140"/>
      <c r="AO346" s="28" t="str">
        <f t="shared" si="65"/>
        <v/>
      </c>
      <c r="AP346" s="140"/>
      <c r="AQ346" s="28" t="str">
        <f t="shared" si="66"/>
        <v/>
      </c>
      <c r="AR346" s="140"/>
      <c r="AS346" s="28" t="str">
        <f t="shared" si="67"/>
        <v/>
      </c>
      <c r="AT346" s="140"/>
      <c r="AU346" s="28" t="str">
        <f t="shared" si="68"/>
        <v/>
      </c>
      <c r="AV346" s="140"/>
      <c r="AW346" s="28" t="str">
        <f t="shared" si="69"/>
        <v/>
      </c>
      <c r="AX346" s="111" t="str">
        <f t="shared" si="70"/>
        <v/>
      </c>
      <c r="AY346" s="111" t="str">
        <f t="shared" si="71"/>
        <v/>
      </c>
      <c r="AZ346" s="141"/>
      <c r="BA346" s="153" t="str">
        <f t="shared" si="72"/>
        <v>Débil</v>
      </c>
      <c r="BB346" s="22" t="str">
        <f>IFERROR(VLOOKUP((CONCATENATE(AY346,BA346)),Listados!$U$3:$V$11,2,FALSE),"")</f>
        <v/>
      </c>
      <c r="BC346" s="111">
        <f t="shared" si="73"/>
        <v>100</v>
      </c>
      <c r="BD346" s="717"/>
      <c r="BE346" s="761"/>
      <c r="BF346" s="717"/>
      <c r="BG346" s="717"/>
      <c r="BH346" s="713"/>
      <c r="BI346" s="715"/>
      <c r="BJ346" s="713"/>
      <c r="BK346" s="713"/>
      <c r="BL346" s="799"/>
      <c r="BM346" s="800"/>
      <c r="BN346" s="801"/>
      <c r="BO346" s="799"/>
      <c r="BP346" s="800"/>
      <c r="BQ346" s="801"/>
      <c r="BR346" s="799"/>
      <c r="BS346" s="800"/>
      <c r="BT346" s="801"/>
    </row>
    <row r="347" spans="1:72" ht="15" thickBot="1">
      <c r="A347" s="724"/>
      <c r="B347" s="777"/>
      <c r="C347" s="730"/>
      <c r="D347" s="736"/>
      <c r="E347" s="756"/>
      <c r="F347" s="770"/>
      <c r="G347" s="736"/>
      <c r="H347" s="764"/>
      <c r="I347" s="764"/>
      <c r="J347" s="764"/>
      <c r="K347" s="764"/>
      <c r="L347" s="764"/>
      <c r="M347" s="764"/>
      <c r="N347" s="764"/>
      <c r="O347" s="764"/>
      <c r="P347" s="764"/>
      <c r="Q347" s="764"/>
      <c r="R347" s="764"/>
      <c r="S347" s="764"/>
      <c r="T347" s="764"/>
      <c r="U347" s="764"/>
      <c r="V347" s="764"/>
      <c r="W347" s="764"/>
      <c r="X347" s="764"/>
      <c r="Y347" s="764"/>
      <c r="Z347" s="727"/>
      <c r="AA347" s="722"/>
      <c r="AB347" s="727"/>
      <c r="AC347" s="720"/>
      <c r="AD347" s="722" t="str">
        <f>+IF(OR(AB347=1,AB347&lt;=5),"Moderado",IF(OR(AB347=6,AB347&lt;=11),"Mayor","Catastrófico"))</f>
        <v>Moderado</v>
      </c>
      <c r="AE347" s="720"/>
      <c r="AF347" s="715"/>
      <c r="AG347" s="52" t="s">
        <v>467</v>
      </c>
      <c r="AH347" s="145"/>
      <c r="AI347" s="145"/>
      <c r="AJ347" s="145"/>
      <c r="AK347" s="28" t="str">
        <f t="shared" si="63"/>
        <v/>
      </c>
      <c r="AL347" s="145"/>
      <c r="AM347" s="28" t="str">
        <f t="shared" si="64"/>
        <v/>
      </c>
      <c r="AN347" s="140"/>
      <c r="AO347" s="28" t="str">
        <f t="shared" si="65"/>
        <v/>
      </c>
      <c r="AP347" s="140"/>
      <c r="AQ347" s="28" t="str">
        <f t="shared" si="66"/>
        <v/>
      </c>
      <c r="AR347" s="140"/>
      <c r="AS347" s="28" t="str">
        <f t="shared" si="67"/>
        <v/>
      </c>
      <c r="AT347" s="140"/>
      <c r="AU347" s="28" t="str">
        <f t="shared" si="68"/>
        <v/>
      </c>
      <c r="AV347" s="140"/>
      <c r="AW347" s="28" t="str">
        <f t="shared" si="69"/>
        <v/>
      </c>
      <c r="AX347" s="111" t="str">
        <f t="shared" si="70"/>
        <v/>
      </c>
      <c r="AY347" s="111" t="str">
        <f t="shared" si="71"/>
        <v/>
      </c>
      <c r="AZ347" s="141"/>
      <c r="BA347" s="153" t="str">
        <f t="shared" si="72"/>
        <v>Débil</v>
      </c>
      <c r="BB347" s="22" t="str">
        <f>IFERROR(VLOOKUP((CONCATENATE(AY347,BA347)),Listados!$U$3:$V$11,2,FALSE),"")</f>
        <v/>
      </c>
      <c r="BC347" s="111">
        <f t="shared" si="73"/>
        <v>100</v>
      </c>
      <c r="BD347" s="717"/>
      <c r="BE347" s="761"/>
      <c r="BF347" s="717"/>
      <c r="BG347" s="717"/>
      <c r="BH347" s="713"/>
      <c r="BI347" s="715"/>
      <c r="BJ347" s="713"/>
      <c r="BK347" s="713"/>
      <c r="BL347" s="799"/>
      <c r="BM347" s="800"/>
      <c r="BN347" s="801"/>
      <c r="BO347" s="799"/>
      <c r="BP347" s="800"/>
      <c r="BQ347" s="801"/>
      <c r="BR347" s="799"/>
      <c r="BS347" s="800"/>
      <c r="BT347" s="801"/>
    </row>
    <row r="348" spans="1:72" ht="15" thickBot="1">
      <c r="A348" s="725"/>
      <c r="B348" s="777"/>
      <c r="C348" s="731"/>
      <c r="D348" s="781"/>
      <c r="E348" s="757"/>
      <c r="F348" s="771"/>
      <c r="G348" s="736"/>
      <c r="H348" s="764"/>
      <c r="I348" s="764"/>
      <c r="J348" s="764"/>
      <c r="K348" s="764"/>
      <c r="L348" s="764"/>
      <c r="M348" s="764"/>
      <c r="N348" s="764"/>
      <c r="O348" s="764"/>
      <c r="P348" s="764"/>
      <c r="Q348" s="764"/>
      <c r="R348" s="764"/>
      <c r="S348" s="764"/>
      <c r="T348" s="764"/>
      <c r="U348" s="764"/>
      <c r="V348" s="764"/>
      <c r="W348" s="764"/>
      <c r="X348" s="764"/>
      <c r="Y348" s="764"/>
      <c r="Z348" s="727"/>
      <c r="AA348" s="722"/>
      <c r="AB348" s="727"/>
      <c r="AC348" s="721"/>
      <c r="AD348" s="722" t="str">
        <f>+IF(OR(AB348=1,AB348&lt;=5),"Moderado",IF(OR(AB348=6,AB348&lt;=11),"Mayor","Catastrófico"))</f>
        <v>Moderado</v>
      </c>
      <c r="AE348" s="721"/>
      <c r="AF348" s="715"/>
      <c r="AG348" s="52" t="s">
        <v>467</v>
      </c>
      <c r="AH348" s="145"/>
      <c r="AI348" s="145"/>
      <c r="AJ348" s="145"/>
      <c r="AK348" s="28" t="str">
        <f t="shared" si="63"/>
        <v/>
      </c>
      <c r="AL348" s="145"/>
      <c r="AM348" s="28" t="str">
        <f t="shared" si="64"/>
        <v/>
      </c>
      <c r="AN348" s="140"/>
      <c r="AO348" s="28" t="str">
        <f t="shared" si="65"/>
        <v/>
      </c>
      <c r="AP348" s="140"/>
      <c r="AQ348" s="28" t="str">
        <f t="shared" si="66"/>
        <v/>
      </c>
      <c r="AR348" s="140"/>
      <c r="AS348" s="28" t="str">
        <f t="shared" si="67"/>
        <v/>
      </c>
      <c r="AT348" s="140"/>
      <c r="AU348" s="28" t="str">
        <f t="shared" si="68"/>
        <v/>
      </c>
      <c r="AV348" s="140"/>
      <c r="AW348" s="28" t="str">
        <f t="shared" si="69"/>
        <v/>
      </c>
      <c r="AX348" s="111" t="str">
        <f t="shared" si="70"/>
        <v/>
      </c>
      <c r="AY348" s="111" t="str">
        <f t="shared" si="71"/>
        <v/>
      </c>
      <c r="AZ348" s="141"/>
      <c r="BA348" s="153" t="str">
        <f t="shared" si="72"/>
        <v>Débil</v>
      </c>
      <c r="BB348" s="22" t="str">
        <f>IFERROR(VLOOKUP((CONCATENATE(AY348,BA348)),Listados!$U$3:$V$11,2,FALSE),"")</f>
        <v/>
      </c>
      <c r="BC348" s="111">
        <f t="shared" si="73"/>
        <v>100</v>
      </c>
      <c r="BD348" s="718"/>
      <c r="BE348" s="761"/>
      <c r="BF348" s="718"/>
      <c r="BG348" s="718"/>
      <c r="BH348" s="714"/>
      <c r="BI348" s="715"/>
      <c r="BJ348" s="714"/>
      <c r="BK348" s="714"/>
      <c r="BL348" s="799"/>
      <c r="BM348" s="800"/>
      <c r="BN348" s="801"/>
      <c r="BO348" s="799"/>
      <c r="BP348" s="800"/>
      <c r="BQ348" s="801"/>
      <c r="BR348" s="799"/>
      <c r="BS348" s="800"/>
      <c r="BT348" s="801"/>
    </row>
    <row r="349" spans="1:72" ht="15" thickBot="1">
      <c r="A349" s="723">
        <v>58</v>
      </c>
      <c r="B349" s="776"/>
      <c r="C349" s="729" t="str">
        <f>IFERROR(VLOOKUP(B349,Listados!B$3:C$20,2,FALSE),"")</f>
        <v/>
      </c>
      <c r="D349" s="735" t="s">
        <v>584</v>
      </c>
      <c r="E349" s="105"/>
      <c r="F349" s="18"/>
      <c r="G349" s="735"/>
      <c r="H349" s="763"/>
      <c r="I349" s="763"/>
      <c r="J349" s="763"/>
      <c r="K349" s="763"/>
      <c r="L349" s="763"/>
      <c r="M349" s="763"/>
      <c r="N349" s="763"/>
      <c r="O349" s="763"/>
      <c r="P349" s="763"/>
      <c r="Q349" s="763"/>
      <c r="R349" s="763"/>
      <c r="S349" s="763"/>
      <c r="T349" s="763"/>
      <c r="U349" s="763"/>
      <c r="V349" s="763"/>
      <c r="W349" s="763"/>
      <c r="X349" s="763"/>
      <c r="Y349" s="763"/>
      <c r="Z349" s="762"/>
      <c r="AA349" s="721">
        <f>COUNTIF(H349:Z354, "SI")</f>
        <v>0</v>
      </c>
      <c r="AB349" s="762"/>
      <c r="AC349" s="719" t="e">
        <f>+VLOOKUP(AB349,Listados!$K$8:$L$12,2,0)</f>
        <v>#N/A</v>
      </c>
      <c r="AD349" s="721" t="str">
        <f>+IF(OR(AA349=1,AA349&lt;=5),"Moderado",IF(OR(AA349=6,AA349&lt;=11),"Mayor","Catastrófico"))</f>
        <v>Moderado</v>
      </c>
      <c r="AE349" s="719" t="e">
        <f>+VLOOKUP(AD349,Listados!K355:L359,2,0)</f>
        <v>#N/A</v>
      </c>
      <c r="AF349" s="714" t="str">
        <f>IF(AND(AB349&lt;&gt;"",AD349&lt;&gt;""),VLOOKUP(AB349&amp;AD349,Listados!$M$3:$N$27,2,FALSE),"")</f>
        <v/>
      </c>
      <c r="AG349" s="52" t="s">
        <v>467</v>
      </c>
      <c r="AH349" s="145"/>
      <c r="AI349" s="145"/>
      <c r="AJ349" s="145"/>
      <c r="AK349" s="28" t="str">
        <f t="shared" si="63"/>
        <v/>
      </c>
      <c r="AL349" s="145"/>
      <c r="AM349" s="28" t="str">
        <f t="shared" si="64"/>
        <v/>
      </c>
      <c r="AN349" s="140"/>
      <c r="AO349" s="28" t="str">
        <f t="shared" si="65"/>
        <v/>
      </c>
      <c r="AP349" s="140"/>
      <c r="AQ349" s="28" t="str">
        <f t="shared" si="66"/>
        <v/>
      </c>
      <c r="AR349" s="140"/>
      <c r="AS349" s="28" t="str">
        <f t="shared" si="67"/>
        <v/>
      </c>
      <c r="AT349" s="140"/>
      <c r="AU349" s="28" t="str">
        <f t="shared" si="68"/>
        <v/>
      </c>
      <c r="AV349" s="140"/>
      <c r="AW349" s="28" t="str">
        <f t="shared" si="69"/>
        <v/>
      </c>
      <c r="AX349" s="111" t="str">
        <f t="shared" si="70"/>
        <v/>
      </c>
      <c r="AY349" s="111" t="str">
        <f t="shared" si="71"/>
        <v/>
      </c>
      <c r="AZ349" s="141"/>
      <c r="BA349" s="153" t="str">
        <f t="shared" si="72"/>
        <v>Débil</v>
      </c>
      <c r="BB349" s="22" t="str">
        <f>IFERROR(VLOOKUP((CONCATENATE(AY349,BA349)),Listados!$U$3:$V$11,2,FALSE),"")</f>
        <v/>
      </c>
      <c r="BC349" s="111">
        <f t="shared" si="73"/>
        <v>100</v>
      </c>
      <c r="BD349" s="716">
        <f>AVERAGE(BC349:BC354)</f>
        <v>100</v>
      </c>
      <c r="BE349" s="718" t="str">
        <f>IF(BD349&lt;=50, "Débil", IF(BD349&lt;=99,"Moderado","Fuerte"))</f>
        <v>Fuerte</v>
      </c>
      <c r="BF349" s="716">
        <f>+IF(BE349="Fuerte",2,IF(BE349="Moderado",1,0))</f>
        <v>2</v>
      </c>
      <c r="BG349" s="716" t="e">
        <f>+AC349-BF349</f>
        <v>#N/A</v>
      </c>
      <c r="BH349" s="712" t="e">
        <f>+VLOOKUP(BG349,Listados!$J$18:$K$24,2,TRUE)</f>
        <v>#N/A</v>
      </c>
      <c r="BI349" s="714" t="str">
        <f>IF(ISBLANK(AD349),"",AD349)</f>
        <v>Moderado</v>
      </c>
      <c r="BJ349" s="712" t="e">
        <f>IF(AND(BH349&lt;&gt;"",BI349&lt;&gt;""),VLOOKUP(BH349&amp;BI349,Listados!$M$3:$N$27,2,FALSE),"")</f>
        <v>#N/A</v>
      </c>
      <c r="BK349" s="712" t="e">
        <f>+VLOOKUP(BJ349,Listados!$P$3:$Q$6,2,FALSE)</f>
        <v>#N/A</v>
      </c>
      <c r="BL349" s="799"/>
      <c r="BM349" s="800"/>
      <c r="BN349" s="801"/>
      <c r="BO349" s="799"/>
      <c r="BP349" s="800"/>
      <c r="BQ349" s="801"/>
      <c r="BR349" s="799"/>
      <c r="BS349" s="800"/>
      <c r="BT349" s="801"/>
    </row>
    <row r="350" spans="1:72" ht="15" thickBot="1">
      <c r="A350" s="724"/>
      <c r="B350" s="777"/>
      <c r="C350" s="730"/>
      <c r="D350" s="736"/>
      <c r="E350" s="161"/>
      <c r="F350" s="150"/>
      <c r="G350" s="736"/>
      <c r="H350" s="764"/>
      <c r="I350" s="764"/>
      <c r="J350" s="764"/>
      <c r="K350" s="764"/>
      <c r="L350" s="764"/>
      <c r="M350" s="764"/>
      <c r="N350" s="764"/>
      <c r="O350" s="764"/>
      <c r="P350" s="764"/>
      <c r="Q350" s="764"/>
      <c r="R350" s="764"/>
      <c r="S350" s="764"/>
      <c r="T350" s="764"/>
      <c r="U350" s="764"/>
      <c r="V350" s="764"/>
      <c r="W350" s="764"/>
      <c r="X350" s="764"/>
      <c r="Y350" s="764"/>
      <c r="Z350" s="727"/>
      <c r="AA350" s="722"/>
      <c r="AB350" s="727"/>
      <c r="AC350" s="720"/>
      <c r="AD350" s="722" t="str">
        <f>+IF(OR(AB350=1,AB350&lt;=5),"Moderado",IF(OR(AB350=6,AB350&lt;=11),"Mayor","Catastrófico"))</f>
        <v>Moderado</v>
      </c>
      <c r="AE350" s="720"/>
      <c r="AF350" s="715"/>
      <c r="AG350" s="52" t="s">
        <v>467</v>
      </c>
      <c r="AH350" s="145"/>
      <c r="AI350" s="145"/>
      <c r="AJ350" s="145"/>
      <c r="AK350" s="28" t="str">
        <f t="shared" si="63"/>
        <v/>
      </c>
      <c r="AL350" s="145"/>
      <c r="AM350" s="28" t="str">
        <f t="shared" si="64"/>
        <v/>
      </c>
      <c r="AN350" s="140"/>
      <c r="AO350" s="28" t="str">
        <f t="shared" si="65"/>
        <v/>
      </c>
      <c r="AP350" s="140"/>
      <c r="AQ350" s="28" t="str">
        <f t="shared" si="66"/>
        <v/>
      </c>
      <c r="AR350" s="140"/>
      <c r="AS350" s="28" t="str">
        <f t="shared" si="67"/>
        <v/>
      </c>
      <c r="AT350" s="140"/>
      <c r="AU350" s="28" t="str">
        <f t="shared" si="68"/>
        <v/>
      </c>
      <c r="AV350" s="140"/>
      <c r="AW350" s="28" t="str">
        <f t="shared" si="69"/>
        <v/>
      </c>
      <c r="AX350" s="111" t="str">
        <f t="shared" si="70"/>
        <v/>
      </c>
      <c r="AY350" s="111" t="str">
        <f t="shared" si="71"/>
        <v/>
      </c>
      <c r="AZ350" s="141"/>
      <c r="BA350" s="153" t="str">
        <f t="shared" si="72"/>
        <v>Débil</v>
      </c>
      <c r="BB350" s="22" t="str">
        <f>IFERROR(VLOOKUP((CONCATENATE(AY350,BA350)),Listados!$U$3:$V$11,2,FALSE),"")</f>
        <v/>
      </c>
      <c r="BC350" s="111">
        <f t="shared" si="73"/>
        <v>100</v>
      </c>
      <c r="BD350" s="717"/>
      <c r="BE350" s="761"/>
      <c r="BF350" s="717"/>
      <c r="BG350" s="717"/>
      <c r="BH350" s="713"/>
      <c r="BI350" s="715"/>
      <c r="BJ350" s="713"/>
      <c r="BK350" s="713"/>
      <c r="BL350" s="799"/>
      <c r="BM350" s="800"/>
      <c r="BN350" s="801"/>
      <c r="BO350" s="799"/>
      <c r="BP350" s="800"/>
      <c r="BQ350" s="801"/>
      <c r="BR350" s="799"/>
      <c r="BS350" s="800"/>
      <c r="BT350" s="801"/>
    </row>
    <row r="351" spans="1:72" ht="15" thickBot="1">
      <c r="A351" s="724"/>
      <c r="B351" s="777"/>
      <c r="C351" s="730"/>
      <c r="D351" s="736"/>
      <c r="E351" s="161"/>
      <c r="F351" s="150"/>
      <c r="G351" s="736"/>
      <c r="H351" s="764"/>
      <c r="I351" s="764"/>
      <c r="J351" s="764"/>
      <c r="K351" s="764"/>
      <c r="L351" s="764"/>
      <c r="M351" s="764"/>
      <c r="N351" s="764"/>
      <c r="O351" s="764"/>
      <c r="P351" s="764"/>
      <c r="Q351" s="764"/>
      <c r="R351" s="764"/>
      <c r="S351" s="764"/>
      <c r="T351" s="764"/>
      <c r="U351" s="764"/>
      <c r="V351" s="764"/>
      <c r="W351" s="764"/>
      <c r="X351" s="764"/>
      <c r="Y351" s="764"/>
      <c r="Z351" s="727"/>
      <c r="AA351" s="722"/>
      <c r="AB351" s="727"/>
      <c r="AC351" s="720"/>
      <c r="AD351" s="722" t="str">
        <f>+IF(OR(AB351=1,AB351&lt;=5),"Moderado",IF(OR(AB351=6,AB351&lt;=11),"Mayor","Catastrófico"))</f>
        <v>Moderado</v>
      </c>
      <c r="AE351" s="720"/>
      <c r="AF351" s="715"/>
      <c r="AG351" s="52" t="s">
        <v>467</v>
      </c>
      <c r="AH351" s="145"/>
      <c r="AI351" s="145"/>
      <c r="AJ351" s="145"/>
      <c r="AK351" s="28" t="str">
        <f t="shared" si="63"/>
        <v/>
      </c>
      <c r="AL351" s="145"/>
      <c r="AM351" s="28" t="str">
        <f t="shared" si="64"/>
        <v/>
      </c>
      <c r="AN351" s="140"/>
      <c r="AO351" s="28" t="str">
        <f t="shared" si="65"/>
        <v/>
      </c>
      <c r="AP351" s="140"/>
      <c r="AQ351" s="28" t="str">
        <f t="shared" si="66"/>
        <v/>
      </c>
      <c r="AR351" s="140"/>
      <c r="AS351" s="28" t="str">
        <f t="shared" si="67"/>
        <v/>
      </c>
      <c r="AT351" s="140"/>
      <c r="AU351" s="28" t="str">
        <f t="shared" si="68"/>
        <v/>
      </c>
      <c r="AV351" s="140"/>
      <c r="AW351" s="28" t="str">
        <f t="shared" si="69"/>
        <v/>
      </c>
      <c r="AX351" s="111" t="str">
        <f t="shared" si="70"/>
        <v/>
      </c>
      <c r="AY351" s="111" t="str">
        <f t="shared" si="71"/>
        <v/>
      </c>
      <c r="AZ351" s="141"/>
      <c r="BA351" s="153" t="str">
        <f t="shared" si="72"/>
        <v>Débil</v>
      </c>
      <c r="BB351" s="22" t="str">
        <f>IFERROR(VLOOKUP((CONCATENATE(AY351,BA351)),Listados!$U$3:$V$11,2,FALSE),"")</f>
        <v/>
      </c>
      <c r="BC351" s="111">
        <f t="shared" si="73"/>
        <v>100</v>
      </c>
      <c r="BD351" s="717"/>
      <c r="BE351" s="761"/>
      <c r="BF351" s="717"/>
      <c r="BG351" s="717"/>
      <c r="BH351" s="713"/>
      <c r="BI351" s="715"/>
      <c r="BJ351" s="713"/>
      <c r="BK351" s="713"/>
      <c r="BL351" s="799"/>
      <c r="BM351" s="800"/>
      <c r="BN351" s="801"/>
      <c r="BO351" s="799"/>
      <c r="BP351" s="800"/>
      <c r="BQ351" s="801"/>
      <c r="BR351" s="799"/>
      <c r="BS351" s="800"/>
      <c r="BT351" s="801"/>
    </row>
    <row r="352" spans="1:72" ht="15" thickBot="1">
      <c r="A352" s="724"/>
      <c r="B352" s="777"/>
      <c r="C352" s="730"/>
      <c r="D352" s="736"/>
      <c r="E352" s="755"/>
      <c r="F352" s="769"/>
      <c r="G352" s="736"/>
      <c r="H352" s="764"/>
      <c r="I352" s="764"/>
      <c r="J352" s="764"/>
      <c r="K352" s="764"/>
      <c r="L352" s="764"/>
      <c r="M352" s="764"/>
      <c r="N352" s="764"/>
      <c r="O352" s="764"/>
      <c r="P352" s="764"/>
      <c r="Q352" s="764"/>
      <c r="R352" s="764"/>
      <c r="S352" s="764"/>
      <c r="T352" s="764"/>
      <c r="U352" s="764"/>
      <c r="V352" s="764"/>
      <c r="W352" s="764"/>
      <c r="X352" s="764"/>
      <c r="Y352" s="764"/>
      <c r="Z352" s="727"/>
      <c r="AA352" s="722"/>
      <c r="AB352" s="727"/>
      <c r="AC352" s="720"/>
      <c r="AD352" s="722" t="str">
        <f>+IF(OR(AB352=1,AB352&lt;=5),"Moderado",IF(OR(AB352=6,AB352&lt;=11),"Mayor","Catastrófico"))</f>
        <v>Moderado</v>
      </c>
      <c r="AE352" s="720"/>
      <c r="AF352" s="715"/>
      <c r="AG352" s="52" t="s">
        <v>467</v>
      </c>
      <c r="AH352" s="145"/>
      <c r="AI352" s="145"/>
      <c r="AJ352" s="145"/>
      <c r="AK352" s="28" t="str">
        <f t="shared" si="63"/>
        <v/>
      </c>
      <c r="AL352" s="145"/>
      <c r="AM352" s="28" t="str">
        <f t="shared" si="64"/>
        <v/>
      </c>
      <c r="AN352" s="140"/>
      <c r="AO352" s="28" t="str">
        <f t="shared" si="65"/>
        <v/>
      </c>
      <c r="AP352" s="140"/>
      <c r="AQ352" s="28" t="str">
        <f t="shared" si="66"/>
        <v/>
      </c>
      <c r="AR352" s="140"/>
      <c r="AS352" s="28" t="str">
        <f t="shared" si="67"/>
        <v/>
      </c>
      <c r="AT352" s="140"/>
      <c r="AU352" s="28" t="str">
        <f t="shared" si="68"/>
        <v/>
      </c>
      <c r="AV352" s="140"/>
      <c r="AW352" s="28" t="str">
        <f t="shared" si="69"/>
        <v/>
      </c>
      <c r="AX352" s="111" t="str">
        <f t="shared" si="70"/>
        <v/>
      </c>
      <c r="AY352" s="111" t="str">
        <f t="shared" si="71"/>
        <v/>
      </c>
      <c r="AZ352" s="141"/>
      <c r="BA352" s="153" t="str">
        <f t="shared" si="72"/>
        <v>Débil</v>
      </c>
      <c r="BB352" s="22" t="str">
        <f>IFERROR(VLOOKUP((CONCATENATE(AY352,BA352)),Listados!$U$3:$V$11,2,FALSE),"")</f>
        <v/>
      </c>
      <c r="BC352" s="111">
        <f t="shared" si="73"/>
        <v>100</v>
      </c>
      <c r="BD352" s="717"/>
      <c r="BE352" s="761"/>
      <c r="BF352" s="717"/>
      <c r="BG352" s="717"/>
      <c r="BH352" s="713"/>
      <c r="BI352" s="715"/>
      <c r="BJ352" s="713"/>
      <c r="BK352" s="713"/>
      <c r="BL352" s="799"/>
      <c r="BM352" s="800"/>
      <c r="BN352" s="801"/>
      <c r="BO352" s="799"/>
      <c r="BP352" s="800"/>
      <c r="BQ352" s="801"/>
      <c r="BR352" s="799"/>
      <c r="BS352" s="800"/>
      <c r="BT352" s="801"/>
    </row>
    <row r="353" spans="1:72" ht="15" thickBot="1">
      <c r="A353" s="724"/>
      <c r="B353" s="777"/>
      <c r="C353" s="730"/>
      <c r="D353" s="736"/>
      <c r="E353" s="756"/>
      <c r="F353" s="770"/>
      <c r="G353" s="736"/>
      <c r="H353" s="764"/>
      <c r="I353" s="764"/>
      <c r="J353" s="764"/>
      <c r="K353" s="764"/>
      <c r="L353" s="764"/>
      <c r="M353" s="764"/>
      <c r="N353" s="764"/>
      <c r="O353" s="764"/>
      <c r="P353" s="764"/>
      <c r="Q353" s="764"/>
      <c r="R353" s="764"/>
      <c r="S353" s="764"/>
      <c r="T353" s="764"/>
      <c r="U353" s="764"/>
      <c r="V353" s="764"/>
      <c r="W353" s="764"/>
      <c r="X353" s="764"/>
      <c r="Y353" s="764"/>
      <c r="Z353" s="727"/>
      <c r="AA353" s="722"/>
      <c r="AB353" s="727"/>
      <c r="AC353" s="720"/>
      <c r="AD353" s="722" t="str">
        <f>+IF(OR(AB353=1,AB353&lt;=5),"Moderado",IF(OR(AB353=6,AB353&lt;=11),"Mayor","Catastrófico"))</f>
        <v>Moderado</v>
      </c>
      <c r="AE353" s="720"/>
      <c r="AF353" s="715"/>
      <c r="AG353" s="52" t="s">
        <v>467</v>
      </c>
      <c r="AH353" s="145"/>
      <c r="AI353" s="145"/>
      <c r="AJ353" s="145"/>
      <c r="AK353" s="28" t="str">
        <f t="shared" si="63"/>
        <v/>
      </c>
      <c r="AL353" s="145"/>
      <c r="AM353" s="28" t="str">
        <f t="shared" si="64"/>
        <v/>
      </c>
      <c r="AN353" s="140"/>
      <c r="AO353" s="28" t="str">
        <f t="shared" si="65"/>
        <v/>
      </c>
      <c r="AP353" s="140"/>
      <c r="AQ353" s="28" t="str">
        <f t="shared" si="66"/>
        <v/>
      </c>
      <c r="AR353" s="140"/>
      <c r="AS353" s="28" t="str">
        <f t="shared" si="67"/>
        <v/>
      </c>
      <c r="AT353" s="140"/>
      <c r="AU353" s="28" t="str">
        <f t="shared" si="68"/>
        <v/>
      </c>
      <c r="AV353" s="140"/>
      <c r="AW353" s="28" t="str">
        <f t="shared" si="69"/>
        <v/>
      </c>
      <c r="AX353" s="111" t="str">
        <f t="shared" si="70"/>
        <v/>
      </c>
      <c r="AY353" s="111" t="str">
        <f t="shared" si="71"/>
        <v/>
      </c>
      <c r="AZ353" s="141"/>
      <c r="BA353" s="153" t="str">
        <f t="shared" si="72"/>
        <v>Débil</v>
      </c>
      <c r="BB353" s="22" t="str">
        <f>IFERROR(VLOOKUP((CONCATENATE(AY353,BA353)),Listados!$U$3:$V$11,2,FALSE),"")</f>
        <v/>
      </c>
      <c r="BC353" s="111">
        <f t="shared" si="73"/>
        <v>100</v>
      </c>
      <c r="BD353" s="717"/>
      <c r="BE353" s="761"/>
      <c r="BF353" s="717"/>
      <c r="BG353" s="717"/>
      <c r="BH353" s="713"/>
      <c r="BI353" s="715"/>
      <c r="BJ353" s="713"/>
      <c r="BK353" s="713"/>
      <c r="BL353" s="799"/>
      <c r="BM353" s="800"/>
      <c r="BN353" s="801"/>
      <c r="BO353" s="799"/>
      <c r="BP353" s="800"/>
      <c r="BQ353" s="801"/>
      <c r="BR353" s="799"/>
      <c r="BS353" s="800"/>
      <c r="BT353" s="801"/>
    </row>
    <row r="354" spans="1:72" ht="15" thickBot="1">
      <c r="A354" s="725"/>
      <c r="B354" s="777"/>
      <c r="C354" s="731"/>
      <c r="D354" s="781"/>
      <c r="E354" s="757"/>
      <c r="F354" s="771"/>
      <c r="G354" s="736"/>
      <c r="H354" s="764"/>
      <c r="I354" s="764"/>
      <c r="J354" s="764"/>
      <c r="K354" s="764"/>
      <c r="L354" s="764"/>
      <c r="M354" s="764"/>
      <c r="N354" s="764"/>
      <c r="O354" s="764"/>
      <c r="P354" s="764"/>
      <c r="Q354" s="764"/>
      <c r="R354" s="764"/>
      <c r="S354" s="764"/>
      <c r="T354" s="764"/>
      <c r="U354" s="764"/>
      <c r="V354" s="764"/>
      <c r="W354" s="764"/>
      <c r="X354" s="764"/>
      <c r="Y354" s="764"/>
      <c r="Z354" s="727"/>
      <c r="AA354" s="722"/>
      <c r="AB354" s="727"/>
      <c r="AC354" s="721"/>
      <c r="AD354" s="722" t="str">
        <f>+IF(OR(AB354=1,AB354&lt;=5),"Moderado",IF(OR(AB354=6,AB354&lt;=11),"Mayor","Catastrófico"))</f>
        <v>Moderado</v>
      </c>
      <c r="AE354" s="721"/>
      <c r="AF354" s="715"/>
      <c r="AG354" s="52" t="s">
        <v>467</v>
      </c>
      <c r="AH354" s="145"/>
      <c r="AI354" s="145"/>
      <c r="AJ354" s="145"/>
      <c r="AK354" s="28" t="str">
        <f t="shared" si="63"/>
        <v/>
      </c>
      <c r="AL354" s="145"/>
      <c r="AM354" s="28" t="str">
        <f t="shared" si="64"/>
        <v/>
      </c>
      <c r="AN354" s="140"/>
      <c r="AO354" s="28" t="str">
        <f t="shared" si="65"/>
        <v/>
      </c>
      <c r="AP354" s="140"/>
      <c r="AQ354" s="28" t="str">
        <f t="shared" si="66"/>
        <v/>
      </c>
      <c r="AR354" s="140"/>
      <c r="AS354" s="28" t="str">
        <f t="shared" si="67"/>
        <v/>
      </c>
      <c r="AT354" s="140"/>
      <c r="AU354" s="28" t="str">
        <f t="shared" si="68"/>
        <v/>
      </c>
      <c r="AV354" s="140"/>
      <c r="AW354" s="28" t="str">
        <f t="shared" si="69"/>
        <v/>
      </c>
      <c r="AX354" s="111" t="str">
        <f t="shared" si="70"/>
        <v/>
      </c>
      <c r="AY354" s="111" t="str">
        <f t="shared" si="71"/>
        <v/>
      </c>
      <c r="AZ354" s="141"/>
      <c r="BA354" s="153" t="str">
        <f t="shared" si="72"/>
        <v>Débil</v>
      </c>
      <c r="BB354" s="22" t="str">
        <f>IFERROR(VLOOKUP((CONCATENATE(AY354,BA354)),Listados!$U$3:$V$11,2,FALSE),"")</f>
        <v/>
      </c>
      <c r="BC354" s="111">
        <f t="shared" si="73"/>
        <v>100</v>
      </c>
      <c r="BD354" s="718"/>
      <c r="BE354" s="761"/>
      <c r="BF354" s="718"/>
      <c r="BG354" s="718"/>
      <c r="BH354" s="714"/>
      <c r="BI354" s="715"/>
      <c r="BJ354" s="714"/>
      <c r="BK354" s="714"/>
      <c r="BL354" s="799"/>
      <c r="BM354" s="800"/>
      <c r="BN354" s="801"/>
      <c r="BO354" s="799"/>
      <c r="BP354" s="800"/>
      <c r="BQ354" s="801"/>
      <c r="BR354" s="799"/>
      <c r="BS354" s="800"/>
      <c r="BT354" s="801"/>
    </row>
    <row r="355" spans="1:72" ht="15" thickBot="1">
      <c r="A355" s="723">
        <v>59</v>
      </c>
      <c r="B355" s="776"/>
      <c r="C355" s="729" t="str">
        <f>IFERROR(VLOOKUP(B355,Listados!B$3:C$20,2,FALSE),"")</f>
        <v/>
      </c>
      <c r="D355" s="735" t="s">
        <v>584</v>
      </c>
      <c r="E355" s="105"/>
      <c r="F355" s="18"/>
      <c r="G355" s="735"/>
      <c r="H355" s="763"/>
      <c r="I355" s="763"/>
      <c r="J355" s="763"/>
      <c r="K355" s="763"/>
      <c r="L355" s="763"/>
      <c r="M355" s="763"/>
      <c r="N355" s="763"/>
      <c r="O355" s="763"/>
      <c r="P355" s="763"/>
      <c r="Q355" s="763"/>
      <c r="R355" s="763"/>
      <c r="S355" s="763"/>
      <c r="T355" s="763"/>
      <c r="U355" s="763"/>
      <c r="V355" s="763"/>
      <c r="W355" s="763"/>
      <c r="X355" s="763"/>
      <c r="Y355" s="763"/>
      <c r="Z355" s="762"/>
      <c r="AA355" s="721">
        <f>COUNTIF(H355:Z360, "SI")</f>
        <v>0</v>
      </c>
      <c r="AB355" s="762"/>
      <c r="AC355" s="719" t="e">
        <f>+VLOOKUP(AB355,Listados!$K$8:$L$12,2,0)</f>
        <v>#N/A</v>
      </c>
      <c r="AD355" s="721" t="str">
        <f>+IF(OR(AA355=1,AA355&lt;=5),"Moderado",IF(OR(AA355=6,AA355&lt;=11),"Mayor","Catastrófico"))</f>
        <v>Moderado</v>
      </c>
      <c r="AE355" s="719" t="e">
        <f>+VLOOKUP(AD355,Listados!K361:L365,2,0)</f>
        <v>#N/A</v>
      </c>
      <c r="AF355" s="714" t="str">
        <f>IF(AND(AB355&lt;&gt;"",AD355&lt;&gt;""),VLOOKUP(AB355&amp;AD355,Listados!$M$3:$N$27,2,FALSE),"")</f>
        <v/>
      </c>
      <c r="AG355" s="52" t="s">
        <v>467</v>
      </c>
      <c r="AH355" s="145"/>
      <c r="AI355" s="145"/>
      <c r="AJ355" s="145"/>
      <c r="AK355" s="28" t="str">
        <f t="shared" si="63"/>
        <v/>
      </c>
      <c r="AL355" s="145"/>
      <c r="AM355" s="28" t="str">
        <f t="shared" si="64"/>
        <v/>
      </c>
      <c r="AN355" s="140"/>
      <c r="AO355" s="28" t="str">
        <f t="shared" si="65"/>
        <v/>
      </c>
      <c r="AP355" s="140"/>
      <c r="AQ355" s="28" t="str">
        <f t="shared" si="66"/>
        <v/>
      </c>
      <c r="AR355" s="140"/>
      <c r="AS355" s="28" t="str">
        <f t="shared" si="67"/>
        <v/>
      </c>
      <c r="AT355" s="140"/>
      <c r="AU355" s="28" t="str">
        <f t="shared" si="68"/>
        <v/>
      </c>
      <c r="AV355" s="140"/>
      <c r="AW355" s="28" t="str">
        <f t="shared" si="69"/>
        <v/>
      </c>
      <c r="AX355" s="111" t="str">
        <f t="shared" si="70"/>
        <v/>
      </c>
      <c r="AY355" s="111" t="str">
        <f t="shared" si="71"/>
        <v/>
      </c>
      <c r="AZ355" s="141"/>
      <c r="BA355" s="153" t="str">
        <f t="shared" si="72"/>
        <v>Débil</v>
      </c>
      <c r="BB355" s="22" t="str">
        <f>IFERROR(VLOOKUP((CONCATENATE(AY355,BA355)),Listados!$U$3:$V$11,2,FALSE),"")</f>
        <v/>
      </c>
      <c r="BC355" s="111">
        <f t="shared" si="73"/>
        <v>100</v>
      </c>
      <c r="BD355" s="716">
        <f>AVERAGE(BC355:BC360)</f>
        <v>100</v>
      </c>
      <c r="BE355" s="718" t="str">
        <f>IF(BD355&lt;=50, "Débil", IF(BD355&lt;=99,"Moderado","Fuerte"))</f>
        <v>Fuerte</v>
      </c>
      <c r="BF355" s="716">
        <f>+IF(BE355="Fuerte",2,IF(BE355="Moderado",1,0))</f>
        <v>2</v>
      </c>
      <c r="BG355" s="716" t="e">
        <f>+AC355-BF355</f>
        <v>#N/A</v>
      </c>
      <c r="BH355" s="712" t="e">
        <f>+VLOOKUP(BG355,Listados!$J$18:$K$24,2,TRUE)</f>
        <v>#N/A</v>
      </c>
      <c r="BI355" s="714" t="str">
        <f>IF(ISBLANK(AD355),"",AD355)</f>
        <v>Moderado</v>
      </c>
      <c r="BJ355" s="712" t="e">
        <f>IF(AND(BH355&lt;&gt;"",BI355&lt;&gt;""),VLOOKUP(BH355&amp;BI355,Listados!$M$3:$N$27,2,FALSE),"")</f>
        <v>#N/A</v>
      </c>
      <c r="BK355" s="712" t="e">
        <f>+VLOOKUP(BJ355,Listados!$P$3:$Q$6,2,FALSE)</f>
        <v>#N/A</v>
      </c>
      <c r="BL355" s="799"/>
      <c r="BM355" s="800"/>
      <c r="BN355" s="801"/>
      <c r="BO355" s="799"/>
      <c r="BP355" s="800"/>
      <c r="BQ355" s="801"/>
      <c r="BR355" s="799"/>
      <c r="BS355" s="800"/>
      <c r="BT355" s="801"/>
    </row>
    <row r="356" spans="1:72" ht="15" thickBot="1">
      <c r="A356" s="724"/>
      <c r="B356" s="777"/>
      <c r="C356" s="730"/>
      <c r="D356" s="736"/>
      <c r="E356" s="161"/>
      <c r="F356" s="150"/>
      <c r="G356" s="736"/>
      <c r="H356" s="764"/>
      <c r="I356" s="764"/>
      <c r="J356" s="764"/>
      <c r="K356" s="764"/>
      <c r="L356" s="764"/>
      <c r="M356" s="764"/>
      <c r="N356" s="764"/>
      <c r="O356" s="764"/>
      <c r="P356" s="764"/>
      <c r="Q356" s="764"/>
      <c r="R356" s="764"/>
      <c r="S356" s="764"/>
      <c r="T356" s="764"/>
      <c r="U356" s="764"/>
      <c r="V356" s="764"/>
      <c r="W356" s="764"/>
      <c r="X356" s="764"/>
      <c r="Y356" s="764"/>
      <c r="Z356" s="727"/>
      <c r="AA356" s="722"/>
      <c r="AB356" s="727"/>
      <c r="AC356" s="720"/>
      <c r="AD356" s="722" t="str">
        <f>+IF(OR(AB356=1,AB356&lt;=5),"Moderado",IF(OR(AB356=6,AB356&lt;=11),"Mayor","Catastrófico"))</f>
        <v>Moderado</v>
      </c>
      <c r="AE356" s="720"/>
      <c r="AF356" s="715"/>
      <c r="AG356" s="52" t="s">
        <v>467</v>
      </c>
      <c r="AH356" s="145"/>
      <c r="AI356" s="145"/>
      <c r="AJ356" s="145"/>
      <c r="AK356" s="28" t="str">
        <f t="shared" si="63"/>
        <v/>
      </c>
      <c r="AL356" s="145"/>
      <c r="AM356" s="28" t="str">
        <f t="shared" si="64"/>
        <v/>
      </c>
      <c r="AN356" s="140"/>
      <c r="AO356" s="28" t="str">
        <f t="shared" si="65"/>
        <v/>
      </c>
      <c r="AP356" s="140"/>
      <c r="AQ356" s="28" t="str">
        <f t="shared" si="66"/>
        <v/>
      </c>
      <c r="AR356" s="140"/>
      <c r="AS356" s="28" t="str">
        <f t="shared" si="67"/>
        <v/>
      </c>
      <c r="AT356" s="140"/>
      <c r="AU356" s="28" t="str">
        <f t="shared" si="68"/>
        <v/>
      </c>
      <c r="AV356" s="140"/>
      <c r="AW356" s="28" t="str">
        <f t="shared" si="69"/>
        <v/>
      </c>
      <c r="AX356" s="111" t="str">
        <f t="shared" si="70"/>
        <v/>
      </c>
      <c r="AY356" s="111" t="str">
        <f t="shared" si="71"/>
        <v/>
      </c>
      <c r="AZ356" s="141"/>
      <c r="BA356" s="153" t="str">
        <f t="shared" si="72"/>
        <v>Débil</v>
      </c>
      <c r="BB356" s="22" t="str">
        <f>IFERROR(VLOOKUP((CONCATENATE(AY356,BA356)),Listados!$U$3:$V$11,2,FALSE),"")</f>
        <v/>
      </c>
      <c r="BC356" s="111">
        <f t="shared" si="73"/>
        <v>100</v>
      </c>
      <c r="BD356" s="717"/>
      <c r="BE356" s="761"/>
      <c r="BF356" s="717"/>
      <c r="BG356" s="717"/>
      <c r="BH356" s="713"/>
      <c r="BI356" s="715"/>
      <c r="BJ356" s="713"/>
      <c r="BK356" s="713"/>
      <c r="BL356" s="799"/>
      <c r="BM356" s="800"/>
      <c r="BN356" s="801"/>
      <c r="BO356" s="799"/>
      <c r="BP356" s="800"/>
      <c r="BQ356" s="801"/>
      <c r="BR356" s="799"/>
      <c r="BS356" s="800"/>
      <c r="BT356" s="801"/>
    </row>
    <row r="357" spans="1:72" ht="15" thickBot="1">
      <c r="A357" s="724"/>
      <c r="B357" s="777"/>
      <c r="C357" s="730"/>
      <c r="D357" s="736"/>
      <c r="E357" s="161"/>
      <c r="F357" s="150"/>
      <c r="G357" s="736"/>
      <c r="H357" s="764"/>
      <c r="I357" s="764"/>
      <c r="J357" s="764"/>
      <c r="K357" s="764"/>
      <c r="L357" s="764"/>
      <c r="M357" s="764"/>
      <c r="N357" s="764"/>
      <c r="O357" s="764"/>
      <c r="P357" s="764"/>
      <c r="Q357" s="764"/>
      <c r="R357" s="764"/>
      <c r="S357" s="764"/>
      <c r="T357" s="764"/>
      <c r="U357" s="764"/>
      <c r="V357" s="764"/>
      <c r="W357" s="764"/>
      <c r="X357" s="764"/>
      <c r="Y357" s="764"/>
      <c r="Z357" s="727"/>
      <c r="AA357" s="722"/>
      <c r="AB357" s="727"/>
      <c r="AC357" s="720"/>
      <c r="AD357" s="722" t="str">
        <f>+IF(OR(AB357=1,AB357&lt;=5),"Moderado",IF(OR(AB357=6,AB357&lt;=11),"Mayor","Catastrófico"))</f>
        <v>Moderado</v>
      </c>
      <c r="AE357" s="720"/>
      <c r="AF357" s="715"/>
      <c r="AG357" s="52" t="s">
        <v>467</v>
      </c>
      <c r="AH357" s="145"/>
      <c r="AI357" s="145"/>
      <c r="AJ357" s="145"/>
      <c r="AK357" s="28" t="str">
        <f t="shared" si="63"/>
        <v/>
      </c>
      <c r="AL357" s="145"/>
      <c r="AM357" s="28" t="str">
        <f t="shared" si="64"/>
        <v/>
      </c>
      <c r="AN357" s="140"/>
      <c r="AO357" s="28" t="str">
        <f t="shared" si="65"/>
        <v/>
      </c>
      <c r="AP357" s="140"/>
      <c r="AQ357" s="28" t="str">
        <f t="shared" si="66"/>
        <v/>
      </c>
      <c r="AR357" s="140"/>
      <c r="AS357" s="28" t="str">
        <f t="shared" si="67"/>
        <v/>
      </c>
      <c r="AT357" s="140"/>
      <c r="AU357" s="28" t="str">
        <f t="shared" si="68"/>
        <v/>
      </c>
      <c r="AV357" s="140"/>
      <c r="AW357" s="28" t="str">
        <f t="shared" si="69"/>
        <v/>
      </c>
      <c r="AX357" s="111" t="str">
        <f t="shared" si="70"/>
        <v/>
      </c>
      <c r="AY357" s="111" t="str">
        <f t="shared" si="71"/>
        <v/>
      </c>
      <c r="AZ357" s="141"/>
      <c r="BA357" s="153" t="str">
        <f t="shared" si="72"/>
        <v>Débil</v>
      </c>
      <c r="BB357" s="22" t="str">
        <f>IFERROR(VLOOKUP((CONCATENATE(AY357,BA357)),Listados!$U$3:$V$11,2,FALSE),"")</f>
        <v/>
      </c>
      <c r="BC357" s="111">
        <f t="shared" si="73"/>
        <v>100</v>
      </c>
      <c r="BD357" s="717"/>
      <c r="BE357" s="761"/>
      <c r="BF357" s="717"/>
      <c r="BG357" s="717"/>
      <c r="BH357" s="713"/>
      <c r="BI357" s="715"/>
      <c r="BJ357" s="713"/>
      <c r="BK357" s="713"/>
      <c r="BL357" s="799"/>
      <c r="BM357" s="800"/>
      <c r="BN357" s="801"/>
      <c r="BO357" s="799"/>
      <c r="BP357" s="800"/>
      <c r="BQ357" s="801"/>
      <c r="BR357" s="799"/>
      <c r="BS357" s="800"/>
      <c r="BT357" s="801"/>
    </row>
    <row r="358" spans="1:72" ht="15" thickBot="1">
      <c r="A358" s="724"/>
      <c r="B358" s="777"/>
      <c r="C358" s="730"/>
      <c r="D358" s="736"/>
      <c r="E358" s="755"/>
      <c r="F358" s="769"/>
      <c r="G358" s="736"/>
      <c r="H358" s="764"/>
      <c r="I358" s="764"/>
      <c r="J358" s="764"/>
      <c r="K358" s="764"/>
      <c r="L358" s="764"/>
      <c r="M358" s="764"/>
      <c r="N358" s="764"/>
      <c r="O358" s="764"/>
      <c r="P358" s="764"/>
      <c r="Q358" s="764"/>
      <c r="R358" s="764"/>
      <c r="S358" s="764"/>
      <c r="T358" s="764"/>
      <c r="U358" s="764"/>
      <c r="V358" s="764"/>
      <c r="W358" s="764"/>
      <c r="X358" s="764"/>
      <c r="Y358" s="764"/>
      <c r="Z358" s="727"/>
      <c r="AA358" s="722"/>
      <c r="AB358" s="727"/>
      <c r="AC358" s="720"/>
      <c r="AD358" s="722" t="str">
        <f>+IF(OR(AB358=1,AB358&lt;=5),"Moderado",IF(OR(AB358=6,AB358&lt;=11),"Mayor","Catastrófico"))</f>
        <v>Moderado</v>
      </c>
      <c r="AE358" s="720"/>
      <c r="AF358" s="715"/>
      <c r="AG358" s="52" t="s">
        <v>467</v>
      </c>
      <c r="AH358" s="145"/>
      <c r="AI358" s="145"/>
      <c r="AJ358" s="145"/>
      <c r="AK358" s="28" t="str">
        <f t="shared" si="63"/>
        <v/>
      </c>
      <c r="AL358" s="145"/>
      <c r="AM358" s="28" t="str">
        <f t="shared" si="64"/>
        <v/>
      </c>
      <c r="AN358" s="140"/>
      <c r="AO358" s="28" t="str">
        <f t="shared" si="65"/>
        <v/>
      </c>
      <c r="AP358" s="140"/>
      <c r="AQ358" s="28" t="str">
        <f t="shared" si="66"/>
        <v/>
      </c>
      <c r="AR358" s="140"/>
      <c r="AS358" s="28" t="str">
        <f t="shared" si="67"/>
        <v/>
      </c>
      <c r="AT358" s="140"/>
      <c r="AU358" s="28" t="str">
        <f t="shared" si="68"/>
        <v/>
      </c>
      <c r="AV358" s="140"/>
      <c r="AW358" s="28" t="str">
        <f t="shared" si="69"/>
        <v/>
      </c>
      <c r="AX358" s="111" t="str">
        <f t="shared" si="70"/>
        <v/>
      </c>
      <c r="AY358" s="111" t="str">
        <f t="shared" si="71"/>
        <v/>
      </c>
      <c r="AZ358" s="141"/>
      <c r="BA358" s="153" t="str">
        <f t="shared" si="72"/>
        <v>Débil</v>
      </c>
      <c r="BB358" s="22" t="str">
        <f>IFERROR(VLOOKUP((CONCATENATE(AY358,BA358)),Listados!$U$3:$V$11,2,FALSE),"")</f>
        <v/>
      </c>
      <c r="BC358" s="111">
        <f t="shared" si="73"/>
        <v>100</v>
      </c>
      <c r="BD358" s="717"/>
      <c r="BE358" s="761"/>
      <c r="BF358" s="717"/>
      <c r="BG358" s="717"/>
      <c r="BH358" s="713"/>
      <c r="BI358" s="715"/>
      <c r="BJ358" s="713"/>
      <c r="BK358" s="713"/>
      <c r="BL358" s="799"/>
      <c r="BM358" s="800"/>
      <c r="BN358" s="801"/>
      <c r="BO358" s="799"/>
      <c r="BP358" s="800"/>
      <c r="BQ358" s="801"/>
      <c r="BR358" s="799"/>
      <c r="BS358" s="800"/>
      <c r="BT358" s="801"/>
    </row>
    <row r="359" spans="1:72" ht="15" thickBot="1">
      <c r="A359" s="724"/>
      <c r="B359" s="777"/>
      <c r="C359" s="730"/>
      <c r="D359" s="736"/>
      <c r="E359" s="756"/>
      <c r="F359" s="770"/>
      <c r="G359" s="736"/>
      <c r="H359" s="764"/>
      <c r="I359" s="764"/>
      <c r="J359" s="764"/>
      <c r="K359" s="764"/>
      <c r="L359" s="764"/>
      <c r="M359" s="764"/>
      <c r="N359" s="764"/>
      <c r="O359" s="764"/>
      <c r="P359" s="764"/>
      <c r="Q359" s="764"/>
      <c r="R359" s="764"/>
      <c r="S359" s="764"/>
      <c r="T359" s="764"/>
      <c r="U359" s="764"/>
      <c r="V359" s="764"/>
      <c r="W359" s="764"/>
      <c r="X359" s="764"/>
      <c r="Y359" s="764"/>
      <c r="Z359" s="727"/>
      <c r="AA359" s="722"/>
      <c r="AB359" s="727"/>
      <c r="AC359" s="720"/>
      <c r="AD359" s="722" t="str">
        <f>+IF(OR(AB359=1,AB359&lt;=5),"Moderado",IF(OR(AB359=6,AB359&lt;=11),"Mayor","Catastrófico"))</f>
        <v>Moderado</v>
      </c>
      <c r="AE359" s="720"/>
      <c r="AF359" s="715"/>
      <c r="AG359" s="52" t="s">
        <v>467</v>
      </c>
      <c r="AH359" s="145"/>
      <c r="AI359" s="145"/>
      <c r="AJ359" s="145"/>
      <c r="AK359" s="28" t="str">
        <f t="shared" si="63"/>
        <v/>
      </c>
      <c r="AL359" s="145"/>
      <c r="AM359" s="28" t="str">
        <f t="shared" si="64"/>
        <v/>
      </c>
      <c r="AN359" s="140"/>
      <c r="AO359" s="28" t="str">
        <f t="shared" si="65"/>
        <v/>
      </c>
      <c r="AP359" s="140"/>
      <c r="AQ359" s="28" t="str">
        <f t="shared" si="66"/>
        <v/>
      </c>
      <c r="AR359" s="140"/>
      <c r="AS359" s="28" t="str">
        <f t="shared" si="67"/>
        <v/>
      </c>
      <c r="AT359" s="140"/>
      <c r="AU359" s="28" t="str">
        <f t="shared" si="68"/>
        <v/>
      </c>
      <c r="AV359" s="140"/>
      <c r="AW359" s="28" t="str">
        <f t="shared" si="69"/>
        <v/>
      </c>
      <c r="AX359" s="111" t="str">
        <f t="shared" si="70"/>
        <v/>
      </c>
      <c r="AY359" s="111" t="str">
        <f t="shared" si="71"/>
        <v/>
      </c>
      <c r="AZ359" s="141"/>
      <c r="BA359" s="153" t="str">
        <f t="shared" si="72"/>
        <v>Débil</v>
      </c>
      <c r="BB359" s="22" t="str">
        <f>IFERROR(VLOOKUP((CONCATENATE(AY359,BA359)),Listados!$U$3:$V$11,2,FALSE),"")</f>
        <v/>
      </c>
      <c r="BC359" s="111">
        <f t="shared" si="73"/>
        <v>100</v>
      </c>
      <c r="BD359" s="717"/>
      <c r="BE359" s="761"/>
      <c r="BF359" s="717"/>
      <c r="BG359" s="717"/>
      <c r="BH359" s="713"/>
      <c r="BI359" s="715"/>
      <c r="BJ359" s="713"/>
      <c r="BK359" s="713"/>
      <c r="BL359" s="799"/>
      <c r="BM359" s="800"/>
      <c r="BN359" s="801"/>
      <c r="BO359" s="799"/>
      <c r="BP359" s="800"/>
      <c r="BQ359" s="801"/>
      <c r="BR359" s="799"/>
      <c r="BS359" s="800"/>
      <c r="BT359" s="801"/>
    </row>
    <row r="360" spans="1:72" ht="15" thickBot="1">
      <c r="A360" s="725"/>
      <c r="B360" s="777"/>
      <c r="C360" s="731"/>
      <c r="D360" s="781"/>
      <c r="E360" s="757"/>
      <c r="F360" s="771"/>
      <c r="G360" s="736"/>
      <c r="H360" s="764"/>
      <c r="I360" s="764"/>
      <c r="J360" s="764"/>
      <c r="K360" s="764"/>
      <c r="L360" s="764"/>
      <c r="M360" s="764"/>
      <c r="N360" s="764"/>
      <c r="O360" s="764"/>
      <c r="P360" s="764"/>
      <c r="Q360" s="764"/>
      <c r="R360" s="764"/>
      <c r="S360" s="764"/>
      <c r="T360" s="764"/>
      <c r="U360" s="764"/>
      <c r="V360" s="764"/>
      <c r="W360" s="764"/>
      <c r="X360" s="764"/>
      <c r="Y360" s="764"/>
      <c r="Z360" s="727"/>
      <c r="AA360" s="722"/>
      <c r="AB360" s="727"/>
      <c r="AC360" s="721"/>
      <c r="AD360" s="722" t="str">
        <f>+IF(OR(AB360=1,AB360&lt;=5),"Moderado",IF(OR(AB360=6,AB360&lt;=11),"Mayor","Catastrófico"))</f>
        <v>Moderado</v>
      </c>
      <c r="AE360" s="721"/>
      <c r="AF360" s="715"/>
      <c r="AG360" s="52" t="s">
        <v>467</v>
      </c>
      <c r="AH360" s="145"/>
      <c r="AI360" s="145"/>
      <c r="AJ360" s="145"/>
      <c r="AK360" s="28" t="str">
        <f t="shared" si="63"/>
        <v/>
      </c>
      <c r="AL360" s="145"/>
      <c r="AM360" s="28" t="str">
        <f t="shared" si="64"/>
        <v/>
      </c>
      <c r="AN360" s="140"/>
      <c r="AO360" s="28" t="str">
        <f t="shared" si="65"/>
        <v/>
      </c>
      <c r="AP360" s="140"/>
      <c r="AQ360" s="28" t="str">
        <f t="shared" si="66"/>
        <v/>
      </c>
      <c r="AR360" s="140"/>
      <c r="AS360" s="28" t="str">
        <f t="shared" si="67"/>
        <v/>
      </c>
      <c r="AT360" s="140"/>
      <c r="AU360" s="28" t="str">
        <f t="shared" si="68"/>
        <v/>
      </c>
      <c r="AV360" s="140"/>
      <c r="AW360" s="28" t="str">
        <f t="shared" si="69"/>
        <v/>
      </c>
      <c r="AX360" s="111" t="str">
        <f t="shared" si="70"/>
        <v/>
      </c>
      <c r="AY360" s="111" t="str">
        <f t="shared" si="71"/>
        <v/>
      </c>
      <c r="AZ360" s="141"/>
      <c r="BA360" s="153" t="str">
        <f t="shared" si="72"/>
        <v>Débil</v>
      </c>
      <c r="BB360" s="22" t="str">
        <f>IFERROR(VLOOKUP((CONCATENATE(AY360,BA360)),Listados!$U$3:$V$11,2,FALSE),"")</f>
        <v/>
      </c>
      <c r="BC360" s="111">
        <f t="shared" si="73"/>
        <v>100</v>
      </c>
      <c r="BD360" s="718"/>
      <c r="BE360" s="761"/>
      <c r="BF360" s="718"/>
      <c r="BG360" s="718"/>
      <c r="BH360" s="714"/>
      <c r="BI360" s="715"/>
      <c r="BJ360" s="714"/>
      <c r="BK360" s="714"/>
      <c r="BL360" s="799"/>
      <c r="BM360" s="800"/>
      <c r="BN360" s="801"/>
      <c r="BO360" s="799"/>
      <c r="BP360" s="800"/>
      <c r="BQ360" s="801"/>
      <c r="BR360" s="799"/>
      <c r="BS360" s="800"/>
      <c r="BT360" s="801"/>
    </row>
    <row r="361" spans="1:72" ht="15" thickBot="1">
      <c r="A361" s="723">
        <v>60</v>
      </c>
      <c r="B361" s="778"/>
      <c r="C361" s="729" t="str">
        <f>IFERROR(VLOOKUP(B361,Listados!B$3:C$20,2,FALSE),"")</f>
        <v/>
      </c>
      <c r="D361" s="735" t="s">
        <v>584</v>
      </c>
      <c r="E361" s="105"/>
      <c r="F361" s="18"/>
      <c r="G361" s="735"/>
      <c r="H361" s="763"/>
      <c r="I361" s="763"/>
      <c r="J361" s="763"/>
      <c r="K361" s="763"/>
      <c r="L361" s="763"/>
      <c r="M361" s="763"/>
      <c r="N361" s="763"/>
      <c r="O361" s="763"/>
      <c r="P361" s="763"/>
      <c r="Q361" s="763"/>
      <c r="R361" s="763"/>
      <c r="S361" s="763"/>
      <c r="T361" s="763"/>
      <c r="U361" s="763"/>
      <c r="V361" s="763"/>
      <c r="W361" s="763"/>
      <c r="X361" s="763"/>
      <c r="Y361" s="763"/>
      <c r="Z361" s="762"/>
      <c r="AA361" s="721">
        <f>COUNTIF(H361:Z366, "SI")</f>
        <v>0</v>
      </c>
      <c r="AB361" s="762"/>
      <c r="AC361" s="719" t="e">
        <f>+VLOOKUP(AB361,Listados!$K$8:$L$12,2,0)</f>
        <v>#N/A</v>
      </c>
      <c r="AD361" s="721" t="str">
        <f>+IF(OR(AA361=1,AA361&lt;=5),"Moderado",IF(OR(AA361=6,AA361&lt;=11),"Mayor","Catastrófico"))</f>
        <v>Moderado</v>
      </c>
      <c r="AE361" s="719" t="e">
        <f>+VLOOKUP(AD361,Listados!K367:L371,2,0)</f>
        <v>#N/A</v>
      </c>
      <c r="AF361" s="714" t="str">
        <f>IF(AND(AB361&lt;&gt;"",AD361&lt;&gt;""),VLOOKUP(AB361&amp;AD361,Listados!$M$3:$N$27,2,FALSE),"")</f>
        <v/>
      </c>
      <c r="AG361" s="52" t="s">
        <v>467</v>
      </c>
      <c r="AH361" s="145"/>
      <c r="AI361" s="145"/>
      <c r="AJ361" s="145"/>
      <c r="AK361" s="28" t="str">
        <f t="shared" si="63"/>
        <v/>
      </c>
      <c r="AL361" s="145"/>
      <c r="AM361" s="28" t="str">
        <f t="shared" si="64"/>
        <v/>
      </c>
      <c r="AN361" s="140"/>
      <c r="AO361" s="28" t="str">
        <f t="shared" si="65"/>
        <v/>
      </c>
      <c r="AP361" s="140"/>
      <c r="AQ361" s="28" t="str">
        <f t="shared" si="66"/>
        <v/>
      </c>
      <c r="AR361" s="140"/>
      <c r="AS361" s="28" t="str">
        <f t="shared" si="67"/>
        <v/>
      </c>
      <c r="AT361" s="140"/>
      <c r="AU361" s="28" t="str">
        <f t="shared" si="68"/>
        <v/>
      </c>
      <c r="AV361" s="140"/>
      <c r="AW361" s="28" t="str">
        <f t="shared" si="69"/>
        <v/>
      </c>
      <c r="AX361" s="111" t="str">
        <f t="shared" si="70"/>
        <v/>
      </c>
      <c r="AY361" s="111" t="str">
        <f t="shared" si="71"/>
        <v/>
      </c>
      <c r="AZ361" s="141"/>
      <c r="BA361" s="153" t="str">
        <f t="shared" si="72"/>
        <v>Débil</v>
      </c>
      <c r="BB361" s="22" t="str">
        <f>IFERROR(VLOOKUP((CONCATENATE(AY361,BA361)),Listados!$U$3:$V$11,2,FALSE),"")</f>
        <v/>
      </c>
      <c r="BC361" s="111">
        <f t="shared" si="73"/>
        <v>100</v>
      </c>
      <c r="BD361" s="716">
        <f>AVERAGE(BC361:BC366)</f>
        <v>100</v>
      </c>
      <c r="BE361" s="718" t="str">
        <f>IF(BD361&lt;=50, "Débil", IF(BD361&lt;=99,"Moderado","Fuerte"))</f>
        <v>Fuerte</v>
      </c>
      <c r="BF361" s="716">
        <f>+IF(BE361="Fuerte",2,IF(BE361="Moderado",1,0))</f>
        <v>2</v>
      </c>
      <c r="BG361" s="716" t="e">
        <f>+AC361-BF361</f>
        <v>#N/A</v>
      </c>
      <c r="BH361" s="712" t="e">
        <f>+VLOOKUP(BG361,Listados!$J$18:$K$24,2,TRUE)</f>
        <v>#N/A</v>
      </c>
      <c r="BI361" s="714" t="str">
        <f>IF(ISBLANK(AD361),"",AD361)</f>
        <v>Moderado</v>
      </c>
      <c r="BJ361" s="712" t="e">
        <f>IF(AND(BH361&lt;&gt;"",BI361&lt;&gt;""),VLOOKUP(BH361&amp;BI361,Listados!$M$3:$N$27,2,FALSE),"")</f>
        <v>#N/A</v>
      </c>
      <c r="BK361" s="712" t="e">
        <f>+VLOOKUP(BJ361,Listados!$P$3:$Q$6,2,FALSE)</f>
        <v>#N/A</v>
      </c>
      <c r="BL361" s="799"/>
      <c r="BM361" s="800"/>
      <c r="BN361" s="801"/>
      <c r="BO361" s="799"/>
      <c r="BP361" s="800"/>
      <c r="BQ361" s="801"/>
      <c r="BR361" s="799"/>
      <c r="BS361" s="800"/>
      <c r="BT361" s="801"/>
    </row>
    <row r="362" spans="1:72" ht="15" thickBot="1">
      <c r="A362" s="724"/>
      <c r="B362" s="778"/>
      <c r="C362" s="730"/>
      <c r="D362" s="736"/>
      <c r="E362" s="161"/>
      <c r="F362" s="150"/>
      <c r="G362" s="736"/>
      <c r="H362" s="764"/>
      <c r="I362" s="764"/>
      <c r="J362" s="764"/>
      <c r="K362" s="764"/>
      <c r="L362" s="764"/>
      <c r="M362" s="764"/>
      <c r="N362" s="764"/>
      <c r="O362" s="764"/>
      <c r="P362" s="764"/>
      <c r="Q362" s="764"/>
      <c r="R362" s="764"/>
      <c r="S362" s="764"/>
      <c r="T362" s="764"/>
      <c r="U362" s="764"/>
      <c r="V362" s="764"/>
      <c r="W362" s="764"/>
      <c r="X362" s="764"/>
      <c r="Y362" s="764"/>
      <c r="Z362" s="727"/>
      <c r="AA362" s="722"/>
      <c r="AB362" s="727"/>
      <c r="AC362" s="720"/>
      <c r="AD362" s="722" t="str">
        <f>+IF(OR(AB362=1,AB362&lt;=5),"Moderado",IF(OR(AB362=6,AB362&lt;=11),"Mayor","Catastrófico"))</f>
        <v>Moderado</v>
      </c>
      <c r="AE362" s="720"/>
      <c r="AF362" s="715"/>
      <c r="AG362" s="52" t="s">
        <v>467</v>
      </c>
      <c r="AH362" s="145"/>
      <c r="AI362" s="145"/>
      <c r="AJ362" s="145"/>
      <c r="AK362" s="28" t="str">
        <f t="shared" si="63"/>
        <v/>
      </c>
      <c r="AL362" s="145"/>
      <c r="AM362" s="28" t="str">
        <f t="shared" si="64"/>
        <v/>
      </c>
      <c r="AN362" s="140"/>
      <c r="AO362" s="28" t="str">
        <f t="shared" si="65"/>
        <v/>
      </c>
      <c r="AP362" s="140"/>
      <c r="AQ362" s="28" t="str">
        <f t="shared" si="66"/>
        <v/>
      </c>
      <c r="AR362" s="140"/>
      <c r="AS362" s="28" t="str">
        <f t="shared" si="67"/>
        <v/>
      </c>
      <c r="AT362" s="140"/>
      <c r="AU362" s="28" t="str">
        <f t="shared" si="68"/>
        <v/>
      </c>
      <c r="AV362" s="140"/>
      <c r="AW362" s="28" t="str">
        <f t="shared" si="69"/>
        <v/>
      </c>
      <c r="AX362" s="111" t="str">
        <f t="shared" si="70"/>
        <v/>
      </c>
      <c r="AY362" s="111" t="str">
        <f t="shared" si="71"/>
        <v/>
      </c>
      <c r="AZ362" s="141"/>
      <c r="BA362" s="153" t="str">
        <f t="shared" si="72"/>
        <v>Débil</v>
      </c>
      <c r="BB362" s="22" t="str">
        <f>IFERROR(VLOOKUP((CONCATENATE(AY362,BA362)),Listados!$U$3:$V$11,2,FALSE),"")</f>
        <v/>
      </c>
      <c r="BC362" s="111">
        <f t="shared" si="73"/>
        <v>100</v>
      </c>
      <c r="BD362" s="717"/>
      <c r="BE362" s="761"/>
      <c r="BF362" s="717"/>
      <c r="BG362" s="717"/>
      <c r="BH362" s="713"/>
      <c r="BI362" s="715"/>
      <c r="BJ362" s="713"/>
      <c r="BK362" s="713"/>
      <c r="BL362" s="799"/>
      <c r="BM362" s="800"/>
      <c r="BN362" s="801"/>
      <c r="BO362" s="799"/>
      <c r="BP362" s="800"/>
      <c r="BQ362" s="801"/>
      <c r="BR362" s="799"/>
      <c r="BS362" s="800"/>
      <c r="BT362" s="801"/>
    </row>
    <row r="363" spans="1:72" ht="15" thickBot="1">
      <c r="A363" s="724"/>
      <c r="B363" s="778"/>
      <c r="C363" s="730"/>
      <c r="D363" s="736"/>
      <c r="E363" s="161"/>
      <c r="F363" s="150"/>
      <c r="G363" s="736"/>
      <c r="H363" s="764"/>
      <c r="I363" s="764"/>
      <c r="J363" s="764"/>
      <c r="K363" s="764"/>
      <c r="L363" s="764"/>
      <c r="M363" s="764"/>
      <c r="N363" s="764"/>
      <c r="O363" s="764"/>
      <c r="P363" s="764"/>
      <c r="Q363" s="764"/>
      <c r="R363" s="764"/>
      <c r="S363" s="764"/>
      <c r="T363" s="764"/>
      <c r="U363" s="764"/>
      <c r="V363" s="764"/>
      <c r="W363" s="764"/>
      <c r="X363" s="764"/>
      <c r="Y363" s="764"/>
      <c r="Z363" s="727"/>
      <c r="AA363" s="722"/>
      <c r="AB363" s="727"/>
      <c r="AC363" s="720"/>
      <c r="AD363" s="722" t="str">
        <f>+IF(OR(AB363=1,AB363&lt;=5),"Moderado",IF(OR(AB363=6,AB363&lt;=11),"Mayor","Catastrófico"))</f>
        <v>Moderado</v>
      </c>
      <c r="AE363" s="720"/>
      <c r="AF363" s="715"/>
      <c r="AG363" s="52" t="s">
        <v>467</v>
      </c>
      <c r="AH363" s="145"/>
      <c r="AI363" s="145"/>
      <c r="AJ363" s="145"/>
      <c r="AK363" s="28" t="str">
        <f t="shared" si="63"/>
        <v/>
      </c>
      <c r="AL363" s="145"/>
      <c r="AM363" s="28" t="str">
        <f t="shared" si="64"/>
        <v/>
      </c>
      <c r="AN363" s="140"/>
      <c r="AO363" s="28" t="str">
        <f t="shared" si="65"/>
        <v/>
      </c>
      <c r="AP363" s="140"/>
      <c r="AQ363" s="28" t="str">
        <f t="shared" si="66"/>
        <v/>
      </c>
      <c r="AR363" s="140"/>
      <c r="AS363" s="28" t="str">
        <f t="shared" si="67"/>
        <v/>
      </c>
      <c r="AT363" s="140"/>
      <c r="AU363" s="28" t="str">
        <f t="shared" si="68"/>
        <v/>
      </c>
      <c r="AV363" s="140"/>
      <c r="AW363" s="28" t="str">
        <f t="shared" si="69"/>
        <v/>
      </c>
      <c r="AX363" s="111" t="str">
        <f t="shared" si="70"/>
        <v/>
      </c>
      <c r="AY363" s="111" t="str">
        <f t="shared" si="71"/>
        <v/>
      </c>
      <c r="AZ363" s="141"/>
      <c r="BA363" s="153" t="str">
        <f t="shared" si="72"/>
        <v>Débil</v>
      </c>
      <c r="BB363" s="22" t="str">
        <f>IFERROR(VLOOKUP((CONCATENATE(AY363,BA363)),Listados!$U$3:$V$11,2,FALSE),"")</f>
        <v/>
      </c>
      <c r="BC363" s="111">
        <f t="shared" si="73"/>
        <v>100</v>
      </c>
      <c r="BD363" s="717"/>
      <c r="BE363" s="761"/>
      <c r="BF363" s="717"/>
      <c r="BG363" s="717"/>
      <c r="BH363" s="713"/>
      <c r="BI363" s="715"/>
      <c r="BJ363" s="713"/>
      <c r="BK363" s="713"/>
      <c r="BL363" s="799"/>
      <c r="BM363" s="800"/>
      <c r="BN363" s="801"/>
      <c r="BO363" s="799"/>
      <c r="BP363" s="800"/>
      <c r="BQ363" s="801"/>
      <c r="BR363" s="799"/>
      <c r="BS363" s="800"/>
      <c r="BT363" s="801"/>
    </row>
    <row r="364" spans="1:72" ht="15" thickBot="1">
      <c r="A364" s="724"/>
      <c r="B364" s="778"/>
      <c r="C364" s="730"/>
      <c r="D364" s="736"/>
      <c r="E364" s="755"/>
      <c r="F364" s="769"/>
      <c r="G364" s="736"/>
      <c r="H364" s="764"/>
      <c r="I364" s="764"/>
      <c r="J364" s="764"/>
      <c r="K364" s="764"/>
      <c r="L364" s="764"/>
      <c r="M364" s="764"/>
      <c r="N364" s="764"/>
      <c r="O364" s="764"/>
      <c r="P364" s="764"/>
      <c r="Q364" s="764"/>
      <c r="R364" s="764"/>
      <c r="S364" s="764"/>
      <c r="T364" s="764"/>
      <c r="U364" s="764"/>
      <c r="V364" s="764"/>
      <c r="W364" s="764"/>
      <c r="X364" s="764"/>
      <c r="Y364" s="764"/>
      <c r="Z364" s="727"/>
      <c r="AA364" s="722"/>
      <c r="AB364" s="727"/>
      <c r="AC364" s="720"/>
      <c r="AD364" s="722" t="str">
        <f>+IF(OR(AB364=1,AB364&lt;=5),"Moderado",IF(OR(AB364=6,AB364&lt;=11),"Mayor","Catastrófico"))</f>
        <v>Moderado</v>
      </c>
      <c r="AE364" s="720"/>
      <c r="AF364" s="715"/>
      <c r="AG364" s="52" t="s">
        <v>467</v>
      </c>
      <c r="AH364" s="145"/>
      <c r="AI364" s="145"/>
      <c r="AJ364" s="145"/>
      <c r="AK364" s="28" t="str">
        <f t="shared" si="63"/>
        <v/>
      </c>
      <c r="AL364" s="145"/>
      <c r="AM364" s="28" t="str">
        <f t="shared" si="64"/>
        <v/>
      </c>
      <c r="AN364" s="140"/>
      <c r="AO364" s="28" t="str">
        <f t="shared" si="65"/>
        <v/>
      </c>
      <c r="AP364" s="140"/>
      <c r="AQ364" s="28" t="str">
        <f t="shared" si="66"/>
        <v/>
      </c>
      <c r="AR364" s="140"/>
      <c r="AS364" s="28" t="str">
        <f t="shared" si="67"/>
        <v/>
      </c>
      <c r="AT364" s="140"/>
      <c r="AU364" s="28" t="str">
        <f t="shared" si="68"/>
        <v/>
      </c>
      <c r="AV364" s="140"/>
      <c r="AW364" s="28" t="str">
        <f t="shared" si="69"/>
        <v/>
      </c>
      <c r="AX364" s="111" t="str">
        <f t="shared" si="70"/>
        <v/>
      </c>
      <c r="AY364" s="111" t="str">
        <f t="shared" si="71"/>
        <v/>
      </c>
      <c r="AZ364" s="141"/>
      <c r="BA364" s="153" t="str">
        <f t="shared" si="72"/>
        <v>Débil</v>
      </c>
      <c r="BB364" s="22" t="str">
        <f>IFERROR(VLOOKUP((CONCATENATE(AY364,BA364)),Listados!$U$3:$V$11,2,FALSE),"")</f>
        <v/>
      </c>
      <c r="BC364" s="111">
        <f t="shared" si="73"/>
        <v>100</v>
      </c>
      <c r="BD364" s="717"/>
      <c r="BE364" s="761"/>
      <c r="BF364" s="717"/>
      <c r="BG364" s="717"/>
      <c r="BH364" s="713"/>
      <c r="BI364" s="715"/>
      <c r="BJ364" s="713"/>
      <c r="BK364" s="713"/>
      <c r="BL364" s="799"/>
      <c r="BM364" s="800"/>
      <c r="BN364" s="801"/>
      <c r="BO364" s="799"/>
      <c r="BP364" s="800"/>
      <c r="BQ364" s="801"/>
      <c r="BR364" s="799"/>
      <c r="BS364" s="800"/>
      <c r="BT364" s="801"/>
    </row>
    <row r="365" spans="1:72" ht="15" thickBot="1">
      <c r="A365" s="724"/>
      <c r="B365" s="778"/>
      <c r="C365" s="730"/>
      <c r="D365" s="736"/>
      <c r="E365" s="756"/>
      <c r="F365" s="770"/>
      <c r="G365" s="736"/>
      <c r="H365" s="764"/>
      <c r="I365" s="764"/>
      <c r="J365" s="764"/>
      <c r="K365" s="764"/>
      <c r="L365" s="764"/>
      <c r="M365" s="764"/>
      <c r="N365" s="764"/>
      <c r="O365" s="764"/>
      <c r="P365" s="764"/>
      <c r="Q365" s="764"/>
      <c r="R365" s="764"/>
      <c r="S365" s="764"/>
      <c r="T365" s="764"/>
      <c r="U365" s="764"/>
      <c r="V365" s="764"/>
      <c r="W365" s="764"/>
      <c r="X365" s="764"/>
      <c r="Y365" s="764"/>
      <c r="Z365" s="727"/>
      <c r="AA365" s="722"/>
      <c r="AB365" s="727"/>
      <c r="AC365" s="720"/>
      <c r="AD365" s="722" t="str">
        <f>+IF(OR(AB365=1,AB365&lt;=5),"Moderado",IF(OR(AB365=6,AB365&lt;=11),"Mayor","Catastrófico"))</f>
        <v>Moderado</v>
      </c>
      <c r="AE365" s="720"/>
      <c r="AF365" s="715"/>
      <c r="AG365" s="52" t="s">
        <v>467</v>
      </c>
      <c r="AH365" s="145"/>
      <c r="AI365" s="145"/>
      <c r="AJ365" s="145"/>
      <c r="AK365" s="28" t="str">
        <f t="shared" si="63"/>
        <v/>
      </c>
      <c r="AL365" s="145"/>
      <c r="AM365" s="28" t="str">
        <f t="shared" si="64"/>
        <v/>
      </c>
      <c r="AN365" s="140"/>
      <c r="AO365" s="28" t="str">
        <f t="shared" si="65"/>
        <v/>
      </c>
      <c r="AP365" s="140"/>
      <c r="AQ365" s="28" t="str">
        <f t="shared" si="66"/>
        <v/>
      </c>
      <c r="AR365" s="140"/>
      <c r="AS365" s="28" t="str">
        <f t="shared" si="67"/>
        <v/>
      </c>
      <c r="AT365" s="140"/>
      <c r="AU365" s="28" t="str">
        <f t="shared" si="68"/>
        <v/>
      </c>
      <c r="AV365" s="140"/>
      <c r="AW365" s="28" t="str">
        <f t="shared" si="69"/>
        <v/>
      </c>
      <c r="AX365" s="111" t="str">
        <f t="shared" si="70"/>
        <v/>
      </c>
      <c r="AY365" s="111" t="str">
        <f t="shared" si="71"/>
        <v/>
      </c>
      <c r="AZ365" s="141"/>
      <c r="BA365" s="153" t="str">
        <f t="shared" si="72"/>
        <v>Débil</v>
      </c>
      <c r="BB365" s="22" t="str">
        <f>IFERROR(VLOOKUP((CONCATENATE(AY365,BA365)),Listados!$U$3:$V$11,2,FALSE),"")</f>
        <v/>
      </c>
      <c r="BC365" s="111">
        <f t="shared" si="73"/>
        <v>100</v>
      </c>
      <c r="BD365" s="717"/>
      <c r="BE365" s="761"/>
      <c r="BF365" s="717"/>
      <c r="BG365" s="717"/>
      <c r="BH365" s="713"/>
      <c r="BI365" s="715"/>
      <c r="BJ365" s="713"/>
      <c r="BK365" s="713"/>
      <c r="BL365" s="799"/>
      <c r="BM365" s="800"/>
      <c r="BN365" s="801"/>
      <c r="BO365" s="799"/>
      <c r="BP365" s="800"/>
      <c r="BQ365" s="801"/>
      <c r="BR365" s="799"/>
      <c r="BS365" s="800"/>
      <c r="BT365" s="801"/>
    </row>
    <row r="366" spans="1:72" ht="15" thickBot="1">
      <c r="A366" s="725"/>
      <c r="B366" s="778"/>
      <c r="C366" s="731"/>
      <c r="D366" s="781"/>
      <c r="E366" s="757"/>
      <c r="F366" s="771"/>
      <c r="G366" s="736"/>
      <c r="H366" s="764"/>
      <c r="I366" s="764"/>
      <c r="J366" s="764"/>
      <c r="K366" s="764"/>
      <c r="L366" s="764"/>
      <c r="M366" s="764"/>
      <c r="N366" s="764"/>
      <c r="O366" s="764"/>
      <c r="P366" s="764"/>
      <c r="Q366" s="764"/>
      <c r="R366" s="764"/>
      <c r="S366" s="764"/>
      <c r="T366" s="764"/>
      <c r="U366" s="764"/>
      <c r="V366" s="764"/>
      <c r="W366" s="764"/>
      <c r="X366" s="764"/>
      <c r="Y366" s="764"/>
      <c r="Z366" s="727"/>
      <c r="AA366" s="722"/>
      <c r="AB366" s="727"/>
      <c r="AC366" s="721"/>
      <c r="AD366" s="722" t="str">
        <f>+IF(OR(AB366=1,AB366&lt;=5),"Moderado",IF(OR(AB366=6,AB366&lt;=11),"Mayor","Catastrófico"))</f>
        <v>Moderado</v>
      </c>
      <c r="AE366" s="721"/>
      <c r="AF366" s="715"/>
      <c r="AG366" s="52" t="s">
        <v>467</v>
      </c>
      <c r="AH366" s="145"/>
      <c r="AI366" s="145"/>
      <c r="AJ366" s="145"/>
      <c r="AK366" s="28" t="str">
        <f t="shared" si="63"/>
        <v/>
      </c>
      <c r="AL366" s="145"/>
      <c r="AM366" s="28" t="str">
        <f t="shared" si="64"/>
        <v/>
      </c>
      <c r="AN366" s="140"/>
      <c r="AO366" s="28" t="str">
        <f t="shared" si="65"/>
        <v/>
      </c>
      <c r="AP366" s="140"/>
      <c r="AQ366" s="28" t="str">
        <f t="shared" si="66"/>
        <v/>
      </c>
      <c r="AR366" s="140"/>
      <c r="AS366" s="28" t="str">
        <f t="shared" si="67"/>
        <v/>
      </c>
      <c r="AT366" s="140"/>
      <c r="AU366" s="28" t="str">
        <f t="shared" si="68"/>
        <v/>
      </c>
      <c r="AV366" s="140"/>
      <c r="AW366" s="28" t="str">
        <f t="shared" si="69"/>
        <v/>
      </c>
      <c r="AX366" s="111" t="str">
        <f t="shared" si="70"/>
        <v/>
      </c>
      <c r="AY366" s="111" t="str">
        <f t="shared" si="71"/>
        <v/>
      </c>
      <c r="AZ366" s="141"/>
      <c r="BA366" s="153" t="str">
        <f t="shared" si="72"/>
        <v>Débil</v>
      </c>
      <c r="BB366" s="22" t="str">
        <f>IFERROR(VLOOKUP((CONCATENATE(AY366,BA366)),Listados!$U$3:$V$11,2,FALSE),"")</f>
        <v/>
      </c>
      <c r="BC366" s="111">
        <f t="shared" si="73"/>
        <v>100</v>
      </c>
      <c r="BD366" s="718"/>
      <c r="BE366" s="761"/>
      <c r="BF366" s="718"/>
      <c r="BG366" s="718"/>
      <c r="BH366" s="714"/>
      <c r="BI366" s="715"/>
      <c r="BJ366" s="714"/>
      <c r="BK366" s="714"/>
      <c r="BL366" s="799"/>
      <c r="BM366" s="800"/>
      <c r="BN366" s="801"/>
      <c r="BO366" s="799"/>
      <c r="BP366" s="800"/>
      <c r="BQ366" s="801"/>
      <c r="BR366" s="799"/>
      <c r="BS366" s="800"/>
      <c r="BT366" s="801"/>
    </row>
  </sheetData>
  <sheetProtection selectLockedCells="1"/>
  <mergeCells count="3502">
    <mergeCell ref="BL366:BN366"/>
    <mergeCell ref="BO366:BQ366"/>
    <mergeCell ref="BR366:BT366"/>
    <mergeCell ref="BL360:BN360"/>
    <mergeCell ref="BO360:BQ360"/>
    <mergeCell ref="BR360:BT360"/>
    <mergeCell ref="BL361:BN361"/>
    <mergeCell ref="BO361:BQ361"/>
    <mergeCell ref="BR361:BT361"/>
    <mergeCell ref="BL362:BN362"/>
    <mergeCell ref="BO362:BQ362"/>
    <mergeCell ref="BR362:BT362"/>
    <mergeCell ref="BL363:BN363"/>
    <mergeCell ref="BO363:BQ363"/>
    <mergeCell ref="BR363:BT363"/>
    <mergeCell ref="BL364:BN364"/>
    <mergeCell ref="BO364:BQ364"/>
    <mergeCell ref="BR364:BT364"/>
    <mergeCell ref="BL365:BN365"/>
    <mergeCell ref="BO365:BQ365"/>
    <mergeCell ref="BR365:BT365"/>
    <mergeCell ref="BL354:BN354"/>
    <mergeCell ref="BO354:BQ354"/>
    <mergeCell ref="BR354:BT354"/>
    <mergeCell ref="BL355:BN355"/>
    <mergeCell ref="BO355:BQ355"/>
    <mergeCell ref="BR355:BT355"/>
    <mergeCell ref="BL356:BN356"/>
    <mergeCell ref="BO356:BQ356"/>
    <mergeCell ref="BR356:BT356"/>
    <mergeCell ref="BL357:BN357"/>
    <mergeCell ref="BO357:BQ357"/>
    <mergeCell ref="BR357:BT357"/>
    <mergeCell ref="BL358:BN358"/>
    <mergeCell ref="BO358:BQ358"/>
    <mergeCell ref="BR358:BT358"/>
    <mergeCell ref="BL359:BN359"/>
    <mergeCell ref="BO359:BQ359"/>
    <mergeCell ref="BR359:BT359"/>
    <mergeCell ref="BL348:BN348"/>
    <mergeCell ref="BO348:BQ348"/>
    <mergeCell ref="BR348:BT348"/>
    <mergeCell ref="BL349:BN349"/>
    <mergeCell ref="BO349:BQ349"/>
    <mergeCell ref="BR349:BT349"/>
    <mergeCell ref="BL350:BN350"/>
    <mergeCell ref="BO350:BQ350"/>
    <mergeCell ref="BR350:BT350"/>
    <mergeCell ref="BL351:BN351"/>
    <mergeCell ref="BO351:BQ351"/>
    <mergeCell ref="BR351:BT351"/>
    <mergeCell ref="BL352:BN352"/>
    <mergeCell ref="BO352:BQ352"/>
    <mergeCell ref="BR352:BT352"/>
    <mergeCell ref="BL353:BN353"/>
    <mergeCell ref="BO353:BQ353"/>
    <mergeCell ref="BR353:BT353"/>
    <mergeCell ref="BL342:BN342"/>
    <mergeCell ref="BO342:BQ342"/>
    <mergeCell ref="BR342:BT342"/>
    <mergeCell ref="BL343:BN343"/>
    <mergeCell ref="BO343:BQ343"/>
    <mergeCell ref="BR343:BT343"/>
    <mergeCell ref="BL344:BN344"/>
    <mergeCell ref="BO344:BQ344"/>
    <mergeCell ref="BR344:BT344"/>
    <mergeCell ref="BL345:BN345"/>
    <mergeCell ref="BO345:BQ345"/>
    <mergeCell ref="BR345:BT345"/>
    <mergeCell ref="BL346:BN346"/>
    <mergeCell ref="BO346:BQ346"/>
    <mergeCell ref="BR346:BT346"/>
    <mergeCell ref="BL347:BN347"/>
    <mergeCell ref="BO347:BQ347"/>
    <mergeCell ref="BR347:BT347"/>
    <mergeCell ref="BL336:BN336"/>
    <mergeCell ref="BO336:BQ336"/>
    <mergeCell ref="BR336:BT336"/>
    <mergeCell ref="BL337:BN337"/>
    <mergeCell ref="BO337:BQ337"/>
    <mergeCell ref="BR337:BT337"/>
    <mergeCell ref="BL338:BN338"/>
    <mergeCell ref="BO338:BQ338"/>
    <mergeCell ref="BR338:BT338"/>
    <mergeCell ref="BL339:BN339"/>
    <mergeCell ref="BO339:BQ339"/>
    <mergeCell ref="BR339:BT339"/>
    <mergeCell ref="BL340:BN340"/>
    <mergeCell ref="BO340:BQ340"/>
    <mergeCell ref="BR340:BT340"/>
    <mergeCell ref="BL341:BN341"/>
    <mergeCell ref="BO341:BQ341"/>
    <mergeCell ref="BR341:BT341"/>
    <mergeCell ref="BL330:BN330"/>
    <mergeCell ref="BO330:BQ330"/>
    <mergeCell ref="BR330:BT330"/>
    <mergeCell ref="BL331:BN331"/>
    <mergeCell ref="BO331:BQ331"/>
    <mergeCell ref="BR331:BT331"/>
    <mergeCell ref="BL332:BN332"/>
    <mergeCell ref="BO332:BQ332"/>
    <mergeCell ref="BR332:BT332"/>
    <mergeCell ref="BL333:BN333"/>
    <mergeCell ref="BO333:BQ333"/>
    <mergeCell ref="BR333:BT333"/>
    <mergeCell ref="BL334:BN334"/>
    <mergeCell ref="BO334:BQ334"/>
    <mergeCell ref="BR334:BT334"/>
    <mergeCell ref="BL335:BN335"/>
    <mergeCell ref="BO335:BQ335"/>
    <mergeCell ref="BR335:BT335"/>
    <mergeCell ref="BL324:BN324"/>
    <mergeCell ref="BO324:BQ324"/>
    <mergeCell ref="BR324:BT324"/>
    <mergeCell ref="BL325:BN325"/>
    <mergeCell ref="BO325:BQ325"/>
    <mergeCell ref="BR325:BT325"/>
    <mergeCell ref="BL326:BN326"/>
    <mergeCell ref="BO326:BQ326"/>
    <mergeCell ref="BR326:BT326"/>
    <mergeCell ref="BL327:BN327"/>
    <mergeCell ref="BO327:BQ327"/>
    <mergeCell ref="BR327:BT327"/>
    <mergeCell ref="BL328:BN328"/>
    <mergeCell ref="BO328:BQ328"/>
    <mergeCell ref="BR328:BT328"/>
    <mergeCell ref="BL329:BN329"/>
    <mergeCell ref="BO329:BQ329"/>
    <mergeCell ref="BR329:BT329"/>
    <mergeCell ref="BL318:BN318"/>
    <mergeCell ref="BO318:BQ318"/>
    <mergeCell ref="BR318:BT318"/>
    <mergeCell ref="BL319:BN319"/>
    <mergeCell ref="BO319:BQ319"/>
    <mergeCell ref="BR319:BT319"/>
    <mergeCell ref="BL320:BN320"/>
    <mergeCell ref="BO320:BQ320"/>
    <mergeCell ref="BR320:BT320"/>
    <mergeCell ref="BL321:BN321"/>
    <mergeCell ref="BO321:BQ321"/>
    <mergeCell ref="BR321:BT321"/>
    <mergeCell ref="BL322:BN322"/>
    <mergeCell ref="BO322:BQ322"/>
    <mergeCell ref="BR322:BT322"/>
    <mergeCell ref="BL323:BN323"/>
    <mergeCell ref="BO323:BQ323"/>
    <mergeCell ref="BR323:BT323"/>
    <mergeCell ref="BL312:BN312"/>
    <mergeCell ref="BO312:BQ312"/>
    <mergeCell ref="BR312:BT312"/>
    <mergeCell ref="BL313:BN313"/>
    <mergeCell ref="BO313:BQ313"/>
    <mergeCell ref="BR313:BT313"/>
    <mergeCell ref="BL314:BN314"/>
    <mergeCell ref="BO314:BQ314"/>
    <mergeCell ref="BR314:BT314"/>
    <mergeCell ref="BL315:BN315"/>
    <mergeCell ref="BO315:BQ315"/>
    <mergeCell ref="BR315:BT315"/>
    <mergeCell ref="BL316:BN316"/>
    <mergeCell ref="BO316:BQ316"/>
    <mergeCell ref="BR316:BT316"/>
    <mergeCell ref="BL317:BN317"/>
    <mergeCell ref="BO317:BQ317"/>
    <mergeCell ref="BR317:BT317"/>
    <mergeCell ref="BL306:BN306"/>
    <mergeCell ref="BO306:BQ306"/>
    <mergeCell ref="BR306:BT306"/>
    <mergeCell ref="BL307:BN307"/>
    <mergeCell ref="BO307:BQ307"/>
    <mergeCell ref="BR307:BT307"/>
    <mergeCell ref="BL308:BN308"/>
    <mergeCell ref="BO308:BQ308"/>
    <mergeCell ref="BR308:BT308"/>
    <mergeCell ref="BL309:BN309"/>
    <mergeCell ref="BO309:BQ309"/>
    <mergeCell ref="BR309:BT309"/>
    <mergeCell ref="BL310:BN310"/>
    <mergeCell ref="BO310:BQ310"/>
    <mergeCell ref="BR310:BT310"/>
    <mergeCell ref="BL311:BN311"/>
    <mergeCell ref="BO311:BQ311"/>
    <mergeCell ref="BR311:BT311"/>
    <mergeCell ref="BL300:BN300"/>
    <mergeCell ref="BO300:BQ300"/>
    <mergeCell ref="BR300:BT300"/>
    <mergeCell ref="BL301:BN301"/>
    <mergeCell ref="BO301:BQ301"/>
    <mergeCell ref="BR301:BT301"/>
    <mergeCell ref="BL302:BN302"/>
    <mergeCell ref="BO302:BQ302"/>
    <mergeCell ref="BR302:BT302"/>
    <mergeCell ref="BL303:BN303"/>
    <mergeCell ref="BO303:BQ303"/>
    <mergeCell ref="BR303:BT303"/>
    <mergeCell ref="BL304:BN304"/>
    <mergeCell ref="BO304:BQ304"/>
    <mergeCell ref="BR304:BT304"/>
    <mergeCell ref="BL305:BN305"/>
    <mergeCell ref="BO305:BQ305"/>
    <mergeCell ref="BR305:BT305"/>
    <mergeCell ref="BL294:BN294"/>
    <mergeCell ref="BO294:BQ294"/>
    <mergeCell ref="BR294:BT294"/>
    <mergeCell ref="BL295:BN295"/>
    <mergeCell ref="BO295:BQ295"/>
    <mergeCell ref="BR295:BT295"/>
    <mergeCell ref="BL296:BN296"/>
    <mergeCell ref="BO296:BQ296"/>
    <mergeCell ref="BR296:BT296"/>
    <mergeCell ref="BL297:BN297"/>
    <mergeCell ref="BO297:BQ297"/>
    <mergeCell ref="BR297:BT297"/>
    <mergeCell ref="BL298:BN298"/>
    <mergeCell ref="BO298:BQ298"/>
    <mergeCell ref="BR298:BT298"/>
    <mergeCell ref="BL299:BN299"/>
    <mergeCell ref="BO299:BQ299"/>
    <mergeCell ref="BR299:BT299"/>
    <mergeCell ref="BL288:BN288"/>
    <mergeCell ref="BO288:BQ288"/>
    <mergeCell ref="BR288:BT288"/>
    <mergeCell ref="BL289:BN289"/>
    <mergeCell ref="BO289:BQ289"/>
    <mergeCell ref="BR289:BT289"/>
    <mergeCell ref="BL290:BN290"/>
    <mergeCell ref="BO290:BQ290"/>
    <mergeCell ref="BR290:BT290"/>
    <mergeCell ref="BL291:BN291"/>
    <mergeCell ref="BO291:BQ291"/>
    <mergeCell ref="BR291:BT291"/>
    <mergeCell ref="BL292:BN292"/>
    <mergeCell ref="BO292:BQ292"/>
    <mergeCell ref="BR292:BT292"/>
    <mergeCell ref="BL293:BN293"/>
    <mergeCell ref="BO293:BQ293"/>
    <mergeCell ref="BR293:BT293"/>
    <mergeCell ref="BL282:BN282"/>
    <mergeCell ref="BO282:BQ282"/>
    <mergeCell ref="BR282:BT282"/>
    <mergeCell ref="BL283:BN283"/>
    <mergeCell ref="BO283:BQ283"/>
    <mergeCell ref="BR283:BT283"/>
    <mergeCell ref="BL284:BN284"/>
    <mergeCell ref="BO284:BQ284"/>
    <mergeCell ref="BR284:BT284"/>
    <mergeCell ref="BL285:BN285"/>
    <mergeCell ref="BO285:BQ285"/>
    <mergeCell ref="BR285:BT285"/>
    <mergeCell ref="BL286:BN286"/>
    <mergeCell ref="BO286:BQ286"/>
    <mergeCell ref="BR286:BT286"/>
    <mergeCell ref="BL287:BN287"/>
    <mergeCell ref="BO287:BQ287"/>
    <mergeCell ref="BR287:BT287"/>
    <mergeCell ref="BL276:BN276"/>
    <mergeCell ref="BO276:BQ276"/>
    <mergeCell ref="BR276:BT276"/>
    <mergeCell ref="BL277:BN277"/>
    <mergeCell ref="BO277:BQ277"/>
    <mergeCell ref="BR277:BT277"/>
    <mergeCell ref="BL278:BN278"/>
    <mergeCell ref="BO278:BQ278"/>
    <mergeCell ref="BR278:BT278"/>
    <mergeCell ref="BL279:BN279"/>
    <mergeCell ref="BO279:BQ279"/>
    <mergeCell ref="BR279:BT279"/>
    <mergeCell ref="BL280:BN280"/>
    <mergeCell ref="BO280:BQ280"/>
    <mergeCell ref="BR280:BT280"/>
    <mergeCell ref="BL281:BN281"/>
    <mergeCell ref="BO281:BQ281"/>
    <mergeCell ref="BR281:BT281"/>
    <mergeCell ref="BL270:BN270"/>
    <mergeCell ref="BO270:BQ270"/>
    <mergeCell ref="BR270:BT270"/>
    <mergeCell ref="BL271:BN271"/>
    <mergeCell ref="BO271:BQ271"/>
    <mergeCell ref="BR271:BT271"/>
    <mergeCell ref="BL272:BN272"/>
    <mergeCell ref="BO272:BQ272"/>
    <mergeCell ref="BR272:BT272"/>
    <mergeCell ref="BL273:BN273"/>
    <mergeCell ref="BO273:BQ273"/>
    <mergeCell ref="BR273:BT273"/>
    <mergeCell ref="BL274:BN274"/>
    <mergeCell ref="BO274:BQ274"/>
    <mergeCell ref="BR274:BT274"/>
    <mergeCell ref="BL275:BN275"/>
    <mergeCell ref="BO275:BQ275"/>
    <mergeCell ref="BR275:BT275"/>
    <mergeCell ref="BL264:BN264"/>
    <mergeCell ref="BO264:BQ264"/>
    <mergeCell ref="BR264:BT264"/>
    <mergeCell ref="BL265:BN265"/>
    <mergeCell ref="BO265:BQ265"/>
    <mergeCell ref="BR265:BT265"/>
    <mergeCell ref="BL266:BN266"/>
    <mergeCell ref="BO266:BQ266"/>
    <mergeCell ref="BR266:BT266"/>
    <mergeCell ref="BL267:BN267"/>
    <mergeCell ref="BO267:BQ267"/>
    <mergeCell ref="BR267:BT267"/>
    <mergeCell ref="BL268:BN268"/>
    <mergeCell ref="BO268:BQ268"/>
    <mergeCell ref="BR268:BT268"/>
    <mergeCell ref="BL269:BN269"/>
    <mergeCell ref="BO269:BQ269"/>
    <mergeCell ref="BR269:BT269"/>
    <mergeCell ref="BL258:BN258"/>
    <mergeCell ref="BO258:BQ258"/>
    <mergeCell ref="BR258:BT258"/>
    <mergeCell ref="BL259:BN259"/>
    <mergeCell ref="BO259:BQ259"/>
    <mergeCell ref="BR259:BT259"/>
    <mergeCell ref="BL260:BN260"/>
    <mergeCell ref="BO260:BQ260"/>
    <mergeCell ref="BR260:BT260"/>
    <mergeCell ref="BL261:BN261"/>
    <mergeCell ref="BO261:BQ261"/>
    <mergeCell ref="BR261:BT261"/>
    <mergeCell ref="BL262:BN262"/>
    <mergeCell ref="BO262:BQ262"/>
    <mergeCell ref="BR262:BT262"/>
    <mergeCell ref="BL263:BN263"/>
    <mergeCell ref="BO263:BQ263"/>
    <mergeCell ref="BR263:BT263"/>
    <mergeCell ref="BL252:BN252"/>
    <mergeCell ref="BO252:BQ252"/>
    <mergeCell ref="BR252:BT252"/>
    <mergeCell ref="BL253:BN253"/>
    <mergeCell ref="BO253:BQ253"/>
    <mergeCell ref="BR253:BT253"/>
    <mergeCell ref="BL254:BN254"/>
    <mergeCell ref="BO254:BQ254"/>
    <mergeCell ref="BR254:BT254"/>
    <mergeCell ref="BL255:BN255"/>
    <mergeCell ref="BO255:BQ255"/>
    <mergeCell ref="BR255:BT255"/>
    <mergeCell ref="BL256:BN256"/>
    <mergeCell ref="BO256:BQ256"/>
    <mergeCell ref="BR256:BT256"/>
    <mergeCell ref="BL257:BN257"/>
    <mergeCell ref="BO257:BQ257"/>
    <mergeCell ref="BR257:BT257"/>
    <mergeCell ref="BL246:BN246"/>
    <mergeCell ref="BO246:BQ246"/>
    <mergeCell ref="BR246:BT246"/>
    <mergeCell ref="BL247:BN247"/>
    <mergeCell ref="BO247:BQ247"/>
    <mergeCell ref="BR247:BT247"/>
    <mergeCell ref="BL248:BN248"/>
    <mergeCell ref="BO248:BQ248"/>
    <mergeCell ref="BR248:BT248"/>
    <mergeCell ref="BL249:BN249"/>
    <mergeCell ref="BO249:BQ249"/>
    <mergeCell ref="BR249:BT249"/>
    <mergeCell ref="BL250:BN250"/>
    <mergeCell ref="BO250:BQ250"/>
    <mergeCell ref="BR250:BT250"/>
    <mergeCell ref="BL251:BN251"/>
    <mergeCell ref="BO251:BQ251"/>
    <mergeCell ref="BR251:BT251"/>
    <mergeCell ref="BL240:BN240"/>
    <mergeCell ref="BO240:BQ240"/>
    <mergeCell ref="BR240:BT240"/>
    <mergeCell ref="BL241:BN241"/>
    <mergeCell ref="BO241:BQ241"/>
    <mergeCell ref="BR241:BT241"/>
    <mergeCell ref="BL242:BN242"/>
    <mergeCell ref="BO242:BQ242"/>
    <mergeCell ref="BR242:BT242"/>
    <mergeCell ref="BL243:BN243"/>
    <mergeCell ref="BO243:BQ243"/>
    <mergeCell ref="BR243:BT243"/>
    <mergeCell ref="BL244:BN244"/>
    <mergeCell ref="BO244:BQ244"/>
    <mergeCell ref="BR244:BT244"/>
    <mergeCell ref="BL245:BN245"/>
    <mergeCell ref="BO245:BQ245"/>
    <mergeCell ref="BR245:BT245"/>
    <mergeCell ref="BL234:BN234"/>
    <mergeCell ref="BO234:BQ234"/>
    <mergeCell ref="BR234:BT234"/>
    <mergeCell ref="BL235:BN235"/>
    <mergeCell ref="BO235:BQ235"/>
    <mergeCell ref="BR235:BT235"/>
    <mergeCell ref="BL236:BN236"/>
    <mergeCell ref="BO236:BQ236"/>
    <mergeCell ref="BR236:BT236"/>
    <mergeCell ref="BL237:BN237"/>
    <mergeCell ref="BO237:BQ237"/>
    <mergeCell ref="BR237:BT237"/>
    <mergeCell ref="BL238:BN238"/>
    <mergeCell ref="BO238:BQ238"/>
    <mergeCell ref="BR238:BT238"/>
    <mergeCell ref="BL239:BN239"/>
    <mergeCell ref="BO239:BQ239"/>
    <mergeCell ref="BR239:BT239"/>
    <mergeCell ref="BL228:BN228"/>
    <mergeCell ref="BO228:BQ228"/>
    <mergeCell ref="BR228:BT228"/>
    <mergeCell ref="BL229:BN229"/>
    <mergeCell ref="BO229:BQ229"/>
    <mergeCell ref="BR229:BT229"/>
    <mergeCell ref="BL230:BN230"/>
    <mergeCell ref="BO230:BQ230"/>
    <mergeCell ref="BR230:BT230"/>
    <mergeCell ref="BL231:BN231"/>
    <mergeCell ref="BO231:BQ231"/>
    <mergeCell ref="BR231:BT231"/>
    <mergeCell ref="BL232:BN232"/>
    <mergeCell ref="BO232:BQ232"/>
    <mergeCell ref="BR232:BT232"/>
    <mergeCell ref="BL233:BN233"/>
    <mergeCell ref="BO233:BQ233"/>
    <mergeCell ref="BR233:BT233"/>
    <mergeCell ref="BL222:BN222"/>
    <mergeCell ref="BO222:BQ222"/>
    <mergeCell ref="BR222:BT222"/>
    <mergeCell ref="BL223:BN223"/>
    <mergeCell ref="BO223:BQ223"/>
    <mergeCell ref="BR223:BT223"/>
    <mergeCell ref="BL224:BN224"/>
    <mergeCell ref="BO224:BQ224"/>
    <mergeCell ref="BR224:BT224"/>
    <mergeCell ref="BL225:BN225"/>
    <mergeCell ref="BO225:BQ225"/>
    <mergeCell ref="BR225:BT225"/>
    <mergeCell ref="BL226:BN226"/>
    <mergeCell ref="BO226:BQ226"/>
    <mergeCell ref="BR226:BT226"/>
    <mergeCell ref="BL227:BN227"/>
    <mergeCell ref="BO227:BQ227"/>
    <mergeCell ref="BR227:BT227"/>
    <mergeCell ref="BL216:BN216"/>
    <mergeCell ref="BO216:BQ216"/>
    <mergeCell ref="BR216:BT216"/>
    <mergeCell ref="BL217:BN217"/>
    <mergeCell ref="BO217:BQ217"/>
    <mergeCell ref="BR217:BT217"/>
    <mergeCell ref="BL218:BN218"/>
    <mergeCell ref="BO218:BQ218"/>
    <mergeCell ref="BR218:BT218"/>
    <mergeCell ref="BL219:BN219"/>
    <mergeCell ref="BO219:BQ219"/>
    <mergeCell ref="BR219:BT219"/>
    <mergeCell ref="BL220:BN220"/>
    <mergeCell ref="BO220:BQ220"/>
    <mergeCell ref="BR220:BT220"/>
    <mergeCell ref="BL221:BN221"/>
    <mergeCell ref="BO221:BQ221"/>
    <mergeCell ref="BR221:BT221"/>
    <mergeCell ref="BL210:BN210"/>
    <mergeCell ref="BO210:BQ210"/>
    <mergeCell ref="BR210:BT210"/>
    <mergeCell ref="BL211:BN211"/>
    <mergeCell ref="BO211:BQ211"/>
    <mergeCell ref="BR211:BT211"/>
    <mergeCell ref="BL212:BN212"/>
    <mergeCell ref="BO212:BQ212"/>
    <mergeCell ref="BR212:BT212"/>
    <mergeCell ref="BL213:BN213"/>
    <mergeCell ref="BO213:BQ213"/>
    <mergeCell ref="BR213:BT213"/>
    <mergeCell ref="BL214:BN214"/>
    <mergeCell ref="BO214:BQ214"/>
    <mergeCell ref="BR214:BT214"/>
    <mergeCell ref="BL215:BN215"/>
    <mergeCell ref="BO215:BQ215"/>
    <mergeCell ref="BR215:BT215"/>
    <mergeCell ref="BL204:BN204"/>
    <mergeCell ref="BO204:BQ204"/>
    <mergeCell ref="BR204:BT204"/>
    <mergeCell ref="BL205:BN205"/>
    <mergeCell ref="BO205:BQ205"/>
    <mergeCell ref="BR205:BT205"/>
    <mergeCell ref="BL206:BN206"/>
    <mergeCell ref="BO206:BQ206"/>
    <mergeCell ref="BR206:BT206"/>
    <mergeCell ref="BL207:BN207"/>
    <mergeCell ref="BO207:BQ207"/>
    <mergeCell ref="BR207:BT207"/>
    <mergeCell ref="BL208:BN208"/>
    <mergeCell ref="BO208:BQ208"/>
    <mergeCell ref="BR208:BT208"/>
    <mergeCell ref="BL209:BN209"/>
    <mergeCell ref="BO209:BQ209"/>
    <mergeCell ref="BR209:BT209"/>
    <mergeCell ref="BL198:BN198"/>
    <mergeCell ref="BO198:BQ198"/>
    <mergeCell ref="BR198:BT198"/>
    <mergeCell ref="BL199:BN199"/>
    <mergeCell ref="BO199:BQ199"/>
    <mergeCell ref="BR199:BT199"/>
    <mergeCell ref="BL200:BN200"/>
    <mergeCell ref="BO200:BQ200"/>
    <mergeCell ref="BR200:BT200"/>
    <mergeCell ref="BL201:BN201"/>
    <mergeCell ref="BO201:BQ201"/>
    <mergeCell ref="BR201:BT201"/>
    <mergeCell ref="BL202:BN202"/>
    <mergeCell ref="BO202:BQ202"/>
    <mergeCell ref="BR202:BT202"/>
    <mergeCell ref="BL203:BN203"/>
    <mergeCell ref="BO203:BQ203"/>
    <mergeCell ref="BR203:BT203"/>
    <mergeCell ref="BL192:BN192"/>
    <mergeCell ref="BO192:BQ192"/>
    <mergeCell ref="BR192:BT192"/>
    <mergeCell ref="BL193:BN193"/>
    <mergeCell ref="BO193:BQ193"/>
    <mergeCell ref="BR193:BT193"/>
    <mergeCell ref="BL194:BN194"/>
    <mergeCell ref="BO194:BQ194"/>
    <mergeCell ref="BR194:BT194"/>
    <mergeCell ref="BL195:BN195"/>
    <mergeCell ref="BO195:BQ195"/>
    <mergeCell ref="BR195:BT195"/>
    <mergeCell ref="BL196:BN196"/>
    <mergeCell ref="BO196:BQ196"/>
    <mergeCell ref="BR196:BT196"/>
    <mergeCell ref="BL197:BN197"/>
    <mergeCell ref="BO197:BQ197"/>
    <mergeCell ref="BR197:BT197"/>
    <mergeCell ref="BL186:BN186"/>
    <mergeCell ref="BO186:BQ186"/>
    <mergeCell ref="BR186:BT186"/>
    <mergeCell ref="BL187:BN187"/>
    <mergeCell ref="BO187:BQ187"/>
    <mergeCell ref="BR187:BT187"/>
    <mergeCell ref="BL188:BN188"/>
    <mergeCell ref="BO188:BQ188"/>
    <mergeCell ref="BR188:BT188"/>
    <mergeCell ref="BL189:BN189"/>
    <mergeCell ref="BO189:BQ189"/>
    <mergeCell ref="BR189:BT189"/>
    <mergeCell ref="BL190:BN190"/>
    <mergeCell ref="BO190:BQ190"/>
    <mergeCell ref="BR190:BT190"/>
    <mergeCell ref="BL191:BN191"/>
    <mergeCell ref="BO191:BQ191"/>
    <mergeCell ref="BR191:BT191"/>
    <mergeCell ref="BL180:BN180"/>
    <mergeCell ref="BO180:BQ180"/>
    <mergeCell ref="BR180:BT180"/>
    <mergeCell ref="BL181:BN181"/>
    <mergeCell ref="BO181:BQ181"/>
    <mergeCell ref="BR181:BT181"/>
    <mergeCell ref="BL182:BN182"/>
    <mergeCell ref="BO182:BQ182"/>
    <mergeCell ref="BR182:BT182"/>
    <mergeCell ref="BL183:BN183"/>
    <mergeCell ref="BO183:BQ183"/>
    <mergeCell ref="BR183:BT183"/>
    <mergeCell ref="BL184:BN184"/>
    <mergeCell ref="BO184:BQ184"/>
    <mergeCell ref="BR184:BT184"/>
    <mergeCell ref="BL185:BN185"/>
    <mergeCell ref="BO185:BQ185"/>
    <mergeCell ref="BR185:BT185"/>
    <mergeCell ref="BL174:BN174"/>
    <mergeCell ref="BO174:BQ174"/>
    <mergeCell ref="BR174:BT174"/>
    <mergeCell ref="BL175:BN175"/>
    <mergeCell ref="BO175:BQ175"/>
    <mergeCell ref="BR175:BT175"/>
    <mergeCell ref="BL176:BN176"/>
    <mergeCell ref="BO176:BQ176"/>
    <mergeCell ref="BR176:BT176"/>
    <mergeCell ref="BL177:BN177"/>
    <mergeCell ref="BO177:BQ177"/>
    <mergeCell ref="BR177:BT177"/>
    <mergeCell ref="BL178:BN178"/>
    <mergeCell ref="BO178:BQ178"/>
    <mergeCell ref="BR178:BT178"/>
    <mergeCell ref="BL179:BN179"/>
    <mergeCell ref="BO179:BQ179"/>
    <mergeCell ref="BR179:BT179"/>
    <mergeCell ref="BL168:BN168"/>
    <mergeCell ref="BO168:BQ168"/>
    <mergeCell ref="BR168:BT168"/>
    <mergeCell ref="BL169:BN169"/>
    <mergeCell ref="BO169:BQ169"/>
    <mergeCell ref="BR169:BT169"/>
    <mergeCell ref="BL170:BN170"/>
    <mergeCell ref="BO170:BQ170"/>
    <mergeCell ref="BR170:BT170"/>
    <mergeCell ref="BL171:BN171"/>
    <mergeCell ref="BO171:BQ171"/>
    <mergeCell ref="BR171:BT171"/>
    <mergeCell ref="BL172:BN172"/>
    <mergeCell ref="BO172:BQ172"/>
    <mergeCell ref="BR172:BT172"/>
    <mergeCell ref="BL173:BN173"/>
    <mergeCell ref="BO173:BQ173"/>
    <mergeCell ref="BR173:BT173"/>
    <mergeCell ref="BL162:BN162"/>
    <mergeCell ref="BO162:BQ162"/>
    <mergeCell ref="BR162:BT162"/>
    <mergeCell ref="BL163:BN163"/>
    <mergeCell ref="BO163:BQ163"/>
    <mergeCell ref="BR163:BT163"/>
    <mergeCell ref="BL164:BN164"/>
    <mergeCell ref="BO164:BQ164"/>
    <mergeCell ref="BR164:BT164"/>
    <mergeCell ref="BL165:BN165"/>
    <mergeCell ref="BO165:BQ165"/>
    <mergeCell ref="BR165:BT165"/>
    <mergeCell ref="BL166:BN166"/>
    <mergeCell ref="BO166:BQ166"/>
    <mergeCell ref="BR166:BT166"/>
    <mergeCell ref="BL167:BN167"/>
    <mergeCell ref="BO167:BQ167"/>
    <mergeCell ref="BR167:BT167"/>
    <mergeCell ref="BL156:BN156"/>
    <mergeCell ref="BO156:BQ156"/>
    <mergeCell ref="BR156:BT156"/>
    <mergeCell ref="BL157:BN157"/>
    <mergeCell ref="BO157:BQ157"/>
    <mergeCell ref="BR157:BT157"/>
    <mergeCell ref="BL158:BN158"/>
    <mergeCell ref="BO158:BQ158"/>
    <mergeCell ref="BR158:BT158"/>
    <mergeCell ref="BL159:BN159"/>
    <mergeCell ref="BO159:BQ159"/>
    <mergeCell ref="BR159:BT159"/>
    <mergeCell ref="BL160:BN160"/>
    <mergeCell ref="BO160:BQ160"/>
    <mergeCell ref="BR160:BT160"/>
    <mergeCell ref="BL161:BN161"/>
    <mergeCell ref="BO161:BQ161"/>
    <mergeCell ref="BR161:BT161"/>
    <mergeCell ref="BL150:BN150"/>
    <mergeCell ref="BO150:BQ150"/>
    <mergeCell ref="BR150:BT150"/>
    <mergeCell ref="BL151:BN151"/>
    <mergeCell ref="BO151:BQ151"/>
    <mergeCell ref="BR151:BT151"/>
    <mergeCell ref="BL152:BN152"/>
    <mergeCell ref="BO152:BQ152"/>
    <mergeCell ref="BR152:BT152"/>
    <mergeCell ref="BL153:BN153"/>
    <mergeCell ref="BO153:BQ153"/>
    <mergeCell ref="BR153:BT153"/>
    <mergeCell ref="BL154:BN154"/>
    <mergeCell ref="BO154:BQ154"/>
    <mergeCell ref="BR154:BT154"/>
    <mergeCell ref="BL155:BN155"/>
    <mergeCell ref="BO155:BQ155"/>
    <mergeCell ref="BR155:BT155"/>
    <mergeCell ref="BL144:BN144"/>
    <mergeCell ref="BO144:BQ144"/>
    <mergeCell ref="BR144:BT144"/>
    <mergeCell ref="BL145:BN145"/>
    <mergeCell ref="BO145:BQ145"/>
    <mergeCell ref="BR145:BT145"/>
    <mergeCell ref="BL146:BN146"/>
    <mergeCell ref="BO146:BQ146"/>
    <mergeCell ref="BR146:BT146"/>
    <mergeCell ref="BL147:BN147"/>
    <mergeCell ref="BO147:BQ147"/>
    <mergeCell ref="BR147:BT147"/>
    <mergeCell ref="BL148:BN148"/>
    <mergeCell ref="BO148:BQ148"/>
    <mergeCell ref="BR148:BT148"/>
    <mergeCell ref="BL149:BN149"/>
    <mergeCell ref="BO149:BQ149"/>
    <mergeCell ref="BR149:BT149"/>
    <mergeCell ref="BL138:BN138"/>
    <mergeCell ref="BO138:BQ138"/>
    <mergeCell ref="BR138:BT138"/>
    <mergeCell ref="BL139:BN139"/>
    <mergeCell ref="BO139:BQ139"/>
    <mergeCell ref="BR139:BT139"/>
    <mergeCell ref="BL140:BN140"/>
    <mergeCell ref="BO140:BQ140"/>
    <mergeCell ref="BR140:BT140"/>
    <mergeCell ref="BL141:BN141"/>
    <mergeCell ref="BO141:BQ141"/>
    <mergeCell ref="BR141:BT141"/>
    <mergeCell ref="BL142:BN142"/>
    <mergeCell ref="BO142:BQ142"/>
    <mergeCell ref="BR142:BT142"/>
    <mergeCell ref="BL143:BN143"/>
    <mergeCell ref="BO143:BQ143"/>
    <mergeCell ref="BR143:BT143"/>
    <mergeCell ref="BL132:BN132"/>
    <mergeCell ref="BO132:BQ132"/>
    <mergeCell ref="BR132:BT132"/>
    <mergeCell ref="BL133:BN133"/>
    <mergeCell ref="BO133:BQ133"/>
    <mergeCell ref="BR133:BT133"/>
    <mergeCell ref="BL134:BN134"/>
    <mergeCell ref="BO134:BQ134"/>
    <mergeCell ref="BR134:BT134"/>
    <mergeCell ref="BL135:BN135"/>
    <mergeCell ref="BO135:BQ135"/>
    <mergeCell ref="BR135:BT135"/>
    <mergeCell ref="BL136:BN136"/>
    <mergeCell ref="BO136:BQ136"/>
    <mergeCell ref="BR136:BT136"/>
    <mergeCell ref="BL137:BN137"/>
    <mergeCell ref="BO137:BQ137"/>
    <mergeCell ref="BR137:BT137"/>
    <mergeCell ref="BL126:BN126"/>
    <mergeCell ref="BO126:BQ126"/>
    <mergeCell ref="BR126:BT126"/>
    <mergeCell ref="BL127:BN127"/>
    <mergeCell ref="BO127:BQ127"/>
    <mergeCell ref="BR127:BT127"/>
    <mergeCell ref="BL128:BN128"/>
    <mergeCell ref="BO128:BQ128"/>
    <mergeCell ref="BR128:BT128"/>
    <mergeCell ref="BL129:BN129"/>
    <mergeCell ref="BO129:BQ129"/>
    <mergeCell ref="BR129:BT129"/>
    <mergeCell ref="BL130:BN130"/>
    <mergeCell ref="BO130:BQ130"/>
    <mergeCell ref="BR130:BT130"/>
    <mergeCell ref="BL131:BN131"/>
    <mergeCell ref="BO131:BQ131"/>
    <mergeCell ref="BR131:BT131"/>
    <mergeCell ref="BL120:BN120"/>
    <mergeCell ref="BO120:BQ120"/>
    <mergeCell ref="BR120:BT120"/>
    <mergeCell ref="BL121:BN121"/>
    <mergeCell ref="BO121:BQ121"/>
    <mergeCell ref="BR121:BT121"/>
    <mergeCell ref="BL122:BN122"/>
    <mergeCell ref="BO122:BQ122"/>
    <mergeCell ref="BR122:BT122"/>
    <mergeCell ref="BL123:BN123"/>
    <mergeCell ref="BO123:BQ123"/>
    <mergeCell ref="BR123:BT123"/>
    <mergeCell ref="BL124:BN124"/>
    <mergeCell ref="BO124:BQ124"/>
    <mergeCell ref="BR124:BT124"/>
    <mergeCell ref="BL125:BN125"/>
    <mergeCell ref="BO125:BQ125"/>
    <mergeCell ref="BR125:BT125"/>
    <mergeCell ref="BL114:BN114"/>
    <mergeCell ref="BO114:BQ114"/>
    <mergeCell ref="BR114:BT114"/>
    <mergeCell ref="BL115:BN115"/>
    <mergeCell ref="BO115:BQ115"/>
    <mergeCell ref="BR115:BT115"/>
    <mergeCell ref="BL116:BN116"/>
    <mergeCell ref="BO116:BQ116"/>
    <mergeCell ref="BR116:BT116"/>
    <mergeCell ref="BL117:BN117"/>
    <mergeCell ref="BO117:BQ117"/>
    <mergeCell ref="BR117:BT117"/>
    <mergeCell ref="BL118:BN118"/>
    <mergeCell ref="BO118:BQ118"/>
    <mergeCell ref="BR118:BT118"/>
    <mergeCell ref="BL119:BN119"/>
    <mergeCell ref="BO119:BQ119"/>
    <mergeCell ref="BR119:BT119"/>
    <mergeCell ref="BL108:BN108"/>
    <mergeCell ref="BO108:BQ108"/>
    <mergeCell ref="BR108:BT108"/>
    <mergeCell ref="BL109:BN109"/>
    <mergeCell ref="BO109:BQ109"/>
    <mergeCell ref="BR109:BT109"/>
    <mergeCell ref="BL110:BN110"/>
    <mergeCell ref="BO110:BQ110"/>
    <mergeCell ref="BR110:BT110"/>
    <mergeCell ref="BL111:BN111"/>
    <mergeCell ref="BO111:BQ111"/>
    <mergeCell ref="BR111:BT111"/>
    <mergeCell ref="BL112:BN112"/>
    <mergeCell ref="BO112:BQ112"/>
    <mergeCell ref="BR112:BT112"/>
    <mergeCell ref="BL113:BN113"/>
    <mergeCell ref="BO113:BQ113"/>
    <mergeCell ref="BR113:BT113"/>
    <mergeCell ref="BL102:BN102"/>
    <mergeCell ref="BO102:BQ102"/>
    <mergeCell ref="BR102:BT102"/>
    <mergeCell ref="BL103:BN103"/>
    <mergeCell ref="BO103:BQ103"/>
    <mergeCell ref="BR103:BT103"/>
    <mergeCell ref="BL104:BN104"/>
    <mergeCell ref="BO104:BQ104"/>
    <mergeCell ref="BR104:BT104"/>
    <mergeCell ref="BL105:BN105"/>
    <mergeCell ref="BO105:BQ105"/>
    <mergeCell ref="BR105:BT105"/>
    <mergeCell ref="BL106:BN106"/>
    <mergeCell ref="BO106:BQ106"/>
    <mergeCell ref="BR106:BT106"/>
    <mergeCell ref="BL107:BN107"/>
    <mergeCell ref="BO107:BQ107"/>
    <mergeCell ref="BR107:BT107"/>
    <mergeCell ref="BL96:BN96"/>
    <mergeCell ref="BO96:BQ96"/>
    <mergeCell ref="BR96:BT96"/>
    <mergeCell ref="BL97:BN97"/>
    <mergeCell ref="BO97:BQ97"/>
    <mergeCell ref="BR97:BT97"/>
    <mergeCell ref="BL98:BN98"/>
    <mergeCell ref="BO98:BQ98"/>
    <mergeCell ref="BR98:BT98"/>
    <mergeCell ref="BL99:BN99"/>
    <mergeCell ref="BO99:BQ99"/>
    <mergeCell ref="BR99:BT99"/>
    <mergeCell ref="BL100:BN100"/>
    <mergeCell ref="BO100:BQ100"/>
    <mergeCell ref="BR100:BT100"/>
    <mergeCell ref="BL101:BN101"/>
    <mergeCell ref="BO101:BQ101"/>
    <mergeCell ref="BR101:BT101"/>
    <mergeCell ref="BL90:BN90"/>
    <mergeCell ref="BO90:BQ90"/>
    <mergeCell ref="BR90:BT90"/>
    <mergeCell ref="BL91:BN91"/>
    <mergeCell ref="BO91:BQ91"/>
    <mergeCell ref="BR91:BT91"/>
    <mergeCell ref="BL92:BN92"/>
    <mergeCell ref="BO92:BQ92"/>
    <mergeCell ref="BR92:BT92"/>
    <mergeCell ref="BL93:BN93"/>
    <mergeCell ref="BO93:BQ93"/>
    <mergeCell ref="BR93:BT93"/>
    <mergeCell ref="BL94:BN94"/>
    <mergeCell ref="BO94:BQ94"/>
    <mergeCell ref="BR94:BT94"/>
    <mergeCell ref="BL95:BN95"/>
    <mergeCell ref="BO95:BQ95"/>
    <mergeCell ref="BR95:BT95"/>
    <mergeCell ref="BL84:BN84"/>
    <mergeCell ref="BO84:BQ84"/>
    <mergeCell ref="BR84:BT84"/>
    <mergeCell ref="BL85:BN85"/>
    <mergeCell ref="BO85:BQ85"/>
    <mergeCell ref="BR85:BT85"/>
    <mergeCell ref="BL86:BN86"/>
    <mergeCell ref="BO86:BQ86"/>
    <mergeCell ref="BR86:BT86"/>
    <mergeCell ref="BL87:BN87"/>
    <mergeCell ref="BO87:BQ87"/>
    <mergeCell ref="BR87:BT87"/>
    <mergeCell ref="BL88:BN88"/>
    <mergeCell ref="BO88:BQ88"/>
    <mergeCell ref="BR88:BT88"/>
    <mergeCell ref="BL89:BN89"/>
    <mergeCell ref="BO89:BQ89"/>
    <mergeCell ref="BR89:BT89"/>
    <mergeCell ref="BL78:BN78"/>
    <mergeCell ref="BO78:BQ78"/>
    <mergeCell ref="BR78:BT78"/>
    <mergeCell ref="BL79:BN79"/>
    <mergeCell ref="BO79:BQ79"/>
    <mergeCell ref="BR79:BT79"/>
    <mergeCell ref="BL80:BN80"/>
    <mergeCell ref="BO80:BQ80"/>
    <mergeCell ref="BR80:BT80"/>
    <mergeCell ref="BL81:BN81"/>
    <mergeCell ref="BO81:BQ81"/>
    <mergeCell ref="BR81:BT81"/>
    <mergeCell ref="BL82:BN82"/>
    <mergeCell ref="BO82:BQ82"/>
    <mergeCell ref="BR82:BT82"/>
    <mergeCell ref="BL83:BN83"/>
    <mergeCell ref="BO83:BQ83"/>
    <mergeCell ref="BR83:BT83"/>
    <mergeCell ref="BL72:BN72"/>
    <mergeCell ref="BO72:BQ72"/>
    <mergeCell ref="BR72:BT72"/>
    <mergeCell ref="BL73:BN73"/>
    <mergeCell ref="BO73:BQ73"/>
    <mergeCell ref="BR73:BT73"/>
    <mergeCell ref="BL74:BN74"/>
    <mergeCell ref="BO74:BQ74"/>
    <mergeCell ref="BR74:BT74"/>
    <mergeCell ref="BL75:BN75"/>
    <mergeCell ref="BO75:BQ75"/>
    <mergeCell ref="BR75:BT75"/>
    <mergeCell ref="BL76:BN76"/>
    <mergeCell ref="BO76:BQ76"/>
    <mergeCell ref="BR76:BT76"/>
    <mergeCell ref="BL77:BN77"/>
    <mergeCell ref="BO77:BQ77"/>
    <mergeCell ref="BR77:BT77"/>
    <mergeCell ref="BL66:BN66"/>
    <mergeCell ref="BO66:BQ66"/>
    <mergeCell ref="BR66:BT66"/>
    <mergeCell ref="BL67:BN67"/>
    <mergeCell ref="BO67:BQ67"/>
    <mergeCell ref="BR67:BT67"/>
    <mergeCell ref="BL68:BN68"/>
    <mergeCell ref="BO68:BQ68"/>
    <mergeCell ref="BR68:BT68"/>
    <mergeCell ref="BL69:BN69"/>
    <mergeCell ref="BO69:BQ69"/>
    <mergeCell ref="BR69:BT69"/>
    <mergeCell ref="BL70:BN70"/>
    <mergeCell ref="BO70:BQ70"/>
    <mergeCell ref="BR70:BT70"/>
    <mergeCell ref="BL71:BN71"/>
    <mergeCell ref="BO71:BQ71"/>
    <mergeCell ref="BR71:BT71"/>
    <mergeCell ref="BL60:BN60"/>
    <mergeCell ref="BO60:BQ60"/>
    <mergeCell ref="BR60:BT60"/>
    <mergeCell ref="BL61:BN61"/>
    <mergeCell ref="BO61:BQ61"/>
    <mergeCell ref="BR61:BT61"/>
    <mergeCell ref="BL62:BN62"/>
    <mergeCell ref="BO62:BQ62"/>
    <mergeCell ref="BR62:BT62"/>
    <mergeCell ref="BL63:BN63"/>
    <mergeCell ref="BO63:BQ63"/>
    <mergeCell ref="BR63:BT63"/>
    <mergeCell ref="BL64:BN64"/>
    <mergeCell ref="BO64:BQ64"/>
    <mergeCell ref="BR64:BT64"/>
    <mergeCell ref="BL65:BN65"/>
    <mergeCell ref="BO65:BQ65"/>
    <mergeCell ref="BR65:BT65"/>
    <mergeCell ref="BL54:BN54"/>
    <mergeCell ref="BO54:BQ54"/>
    <mergeCell ref="BR54:BT54"/>
    <mergeCell ref="BL55:BN55"/>
    <mergeCell ref="BO55:BQ55"/>
    <mergeCell ref="BR55:BT55"/>
    <mergeCell ref="BL56:BN56"/>
    <mergeCell ref="BO56:BQ56"/>
    <mergeCell ref="BR56:BT56"/>
    <mergeCell ref="BL57:BN57"/>
    <mergeCell ref="BO57:BQ57"/>
    <mergeCell ref="BR57:BT57"/>
    <mergeCell ref="BL58:BN58"/>
    <mergeCell ref="BO58:BQ58"/>
    <mergeCell ref="BR58:BT58"/>
    <mergeCell ref="BL59:BN59"/>
    <mergeCell ref="BO59:BQ59"/>
    <mergeCell ref="BR59:BT59"/>
    <mergeCell ref="BL48:BN48"/>
    <mergeCell ref="BO48:BQ48"/>
    <mergeCell ref="BR48:BT48"/>
    <mergeCell ref="BL49:BN49"/>
    <mergeCell ref="BO49:BQ49"/>
    <mergeCell ref="BR49:BT49"/>
    <mergeCell ref="BL50:BN50"/>
    <mergeCell ref="BO50:BQ50"/>
    <mergeCell ref="BR50:BT50"/>
    <mergeCell ref="BL51:BN51"/>
    <mergeCell ref="BO51:BQ51"/>
    <mergeCell ref="BR51:BT51"/>
    <mergeCell ref="BL52:BN52"/>
    <mergeCell ref="BO52:BQ52"/>
    <mergeCell ref="BR52:BT52"/>
    <mergeCell ref="BL53:BN53"/>
    <mergeCell ref="BO53:BQ53"/>
    <mergeCell ref="BR53:BT53"/>
    <mergeCell ref="BL42:BN42"/>
    <mergeCell ref="BO42:BQ42"/>
    <mergeCell ref="BR42:BT42"/>
    <mergeCell ref="BL43:BN43"/>
    <mergeCell ref="BO43:BQ43"/>
    <mergeCell ref="BR43:BT43"/>
    <mergeCell ref="BL44:BN44"/>
    <mergeCell ref="BO44:BQ44"/>
    <mergeCell ref="BR44:BT44"/>
    <mergeCell ref="BL45:BN45"/>
    <mergeCell ref="BO45:BQ45"/>
    <mergeCell ref="BR45:BT45"/>
    <mergeCell ref="BL46:BN46"/>
    <mergeCell ref="BO46:BQ46"/>
    <mergeCell ref="BR46:BT46"/>
    <mergeCell ref="BL47:BN47"/>
    <mergeCell ref="BO47:BQ47"/>
    <mergeCell ref="BR47:BT47"/>
    <mergeCell ref="BL36:BN36"/>
    <mergeCell ref="BO36:BQ36"/>
    <mergeCell ref="BR36:BT36"/>
    <mergeCell ref="BL37:BN37"/>
    <mergeCell ref="BO37:BQ37"/>
    <mergeCell ref="BR37:BT37"/>
    <mergeCell ref="BL38:BN38"/>
    <mergeCell ref="BO38:BQ38"/>
    <mergeCell ref="BR38:BT38"/>
    <mergeCell ref="BL39:BN39"/>
    <mergeCell ref="BO39:BQ39"/>
    <mergeCell ref="BR39:BT39"/>
    <mergeCell ref="BL40:BN40"/>
    <mergeCell ref="BO40:BQ40"/>
    <mergeCell ref="BR40:BT40"/>
    <mergeCell ref="BL41:BN41"/>
    <mergeCell ref="BO41:BQ41"/>
    <mergeCell ref="BR41:BT41"/>
    <mergeCell ref="BL30:BN30"/>
    <mergeCell ref="BO30:BQ30"/>
    <mergeCell ref="BR30:BT30"/>
    <mergeCell ref="BL31:BN31"/>
    <mergeCell ref="BO31:BQ31"/>
    <mergeCell ref="BR31:BT31"/>
    <mergeCell ref="BL32:BN32"/>
    <mergeCell ref="BO32:BQ32"/>
    <mergeCell ref="BR32:BT32"/>
    <mergeCell ref="BL33:BN33"/>
    <mergeCell ref="BO33:BQ33"/>
    <mergeCell ref="BR33:BT33"/>
    <mergeCell ref="BL34:BN34"/>
    <mergeCell ref="BO34:BQ34"/>
    <mergeCell ref="BR34:BT34"/>
    <mergeCell ref="BL35:BN35"/>
    <mergeCell ref="BO35:BQ35"/>
    <mergeCell ref="BR35:BT35"/>
    <mergeCell ref="BL24:BN24"/>
    <mergeCell ref="BO24:BQ24"/>
    <mergeCell ref="BR24:BT24"/>
    <mergeCell ref="BL25:BN25"/>
    <mergeCell ref="BO25:BQ25"/>
    <mergeCell ref="BR25:BT25"/>
    <mergeCell ref="BL26:BN26"/>
    <mergeCell ref="BO26:BQ26"/>
    <mergeCell ref="BR26:BT26"/>
    <mergeCell ref="BL27:BN27"/>
    <mergeCell ref="BO27:BQ27"/>
    <mergeCell ref="BR27:BT27"/>
    <mergeCell ref="BL28:BN28"/>
    <mergeCell ref="BO28:BQ28"/>
    <mergeCell ref="BR28:BT28"/>
    <mergeCell ref="BL29:BN29"/>
    <mergeCell ref="BO29:BQ29"/>
    <mergeCell ref="BR29:BT29"/>
    <mergeCell ref="BL18:BN18"/>
    <mergeCell ref="BO18:BQ18"/>
    <mergeCell ref="BR18:BT18"/>
    <mergeCell ref="BL19:BN19"/>
    <mergeCell ref="BO19:BQ19"/>
    <mergeCell ref="BR19:BT19"/>
    <mergeCell ref="BL20:BN20"/>
    <mergeCell ref="BO20:BQ20"/>
    <mergeCell ref="BR20:BT20"/>
    <mergeCell ref="BL21:BN21"/>
    <mergeCell ref="BO21:BQ21"/>
    <mergeCell ref="BR21:BT21"/>
    <mergeCell ref="BL22:BN22"/>
    <mergeCell ref="BO22:BQ22"/>
    <mergeCell ref="BR22:BT22"/>
    <mergeCell ref="BL23:BN23"/>
    <mergeCell ref="BO23:BQ23"/>
    <mergeCell ref="BR23:BT23"/>
    <mergeCell ref="BL12:BN12"/>
    <mergeCell ref="BO12:BQ12"/>
    <mergeCell ref="BR12:BT12"/>
    <mergeCell ref="BL13:BN13"/>
    <mergeCell ref="BO13:BQ13"/>
    <mergeCell ref="BR13:BT13"/>
    <mergeCell ref="BL14:BN14"/>
    <mergeCell ref="BO14:BQ14"/>
    <mergeCell ref="BR14:BT14"/>
    <mergeCell ref="BL15:BN15"/>
    <mergeCell ref="BO15:BQ15"/>
    <mergeCell ref="BR15:BT15"/>
    <mergeCell ref="BL16:BN16"/>
    <mergeCell ref="BO16:BQ16"/>
    <mergeCell ref="BR16:BT16"/>
    <mergeCell ref="BL17:BN17"/>
    <mergeCell ref="BO17:BQ17"/>
    <mergeCell ref="BR17:BT17"/>
    <mergeCell ref="BL5:BN6"/>
    <mergeCell ref="BO5:BQ6"/>
    <mergeCell ref="BR5:BT6"/>
    <mergeCell ref="BL7:BN7"/>
    <mergeCell ref="BO7:BQ7"/>
    <mergeCell ref="BR7:BT7"/>
    <mergeCell ref="BL8:BN8"/>
    <mergeCell ref="BO8:BQ8"/>
    <mergeCell ref="BR8:BT8"/>
    <mergeCell ref="BL9:BN9"/>
    <mergeCell ref="BO9:BQ9"/>
    <mergeCell ref="BR9:BT9"/>
    <mergeCell ref="BL10:BN10"/>
    <mergeCell ref="BO10:BQ10"/>
    <mergeCell ref="BR10:BT10"/>
    <mergeCell ref="BL11:BN11"/>
    <mergeCell ref="BO11:BQ11"/>
    <mergeCell ref="BR11:BT11"/>
    <mergeCell ref="U67:U72"/>
    <mergeCell ref="V67:V72"/>
    <mergeCell ref="W67:W72"/>
    <mergeCell ref="X67:X72"/>
    <mergeCell ref="Y67:Y72"/>
    <mergeCell ref="N67:N72"/>
    <mergeCell ref="O67:O72"/>
    <mergeCell ref="P67:P72"/>
    <mergeCell ref="Q67:Q72"/>
    <mergeCell ref="R67:R72"/>
    <mergeCell ref="S67:S72"/>
    <mergeCell ref="H67:H72"/>
    <mergeCell ref="I67:I72"/>
    <mergeCell ref="J67:J72"/>
    <mergeCell ref="K67:K72"/>
    <mergeCell ref="L67:L72"/>
    <mergeCell ref="M67:M72"/>
    <mergeCell ref="BE151:BE156"/>
    <mergeCell ref="BE157:BE162"/>
    <mergeCell ref="BE163:BE168"/>
    <mergeCell ref="BE169:BE174"/>
    <mergeCell ref="BE175:BE180"/>
    <mergeCell ref="BE361:BE366"/>
    <mergeCell ref="BE325:BE330"/>
    <mergeCell ref="BE331:BE336"/>
    <mergeCell ref="BE337:BE342"/>
    <mergeCell ref="BE343:BE348"/>
    <mergeCell ref="BE349:BE354"/>
    <mergeCell ref="BE355:BE360"/>
    <mergeCell ref="BE289:BE294"/>
    <mergeCell ref="BE295:BE300"/>
    <mergeCell ref="BE301:BE306"/>
    <mergeCell ref="BE307:BE312"/>
    <mergeCell ref="BE313:BE318"/>
    <mergeCell ref="BE319:BE324"/>
    <mergeCell ref="BE253:BE258"/>
    <mergeCell ref="BE259:BE264"/>
    <mergeCell ref="BE265:BE270"/>
    <mergeCell ref="BE271:BE276"/>
    <mergeCell ref="BE277:BE282"/>
    <mergeCell ref="BE283:BE288"/>
    <mergeCell ref="BD361:BD366"/>
    <mergeCell ref="BE13:BE18"/>
    <mergeCell ref="BE19:BE24"/>
    <mergeCell ref="BE25:BE30"/>
    <mergeCell ref="BE31:BE36"/>
    <mergeCell ref="BE37:BE42"/>
    <mergeCell ref="BE43:BE48"/>
    <mergeCell ref="BE49:BE54"/>
    <mergeCell ref="BE55:BE60"/>
    <mergeCell ref="BE61:BE66"/>
    <mergeCell ref="BD325:BD330"/>
    <mergeCell ref="BD331:BD336"/>
    <mergeCell ref="BD337:BD342"/>
    <mergeCell ref="BD343:BD348"/>
    <mergeCell ref="BD349:BD354"/>
    <mergeCell ref="BD355:BD360"/>
    <mergeCell ref="BD289:BD294"/>
    <mergeCell ref="BD295:BD300"/>
    <mergeCell ref="BD301:BD306"/>
    <mergeCell ref="BD307:BD312"/>
    <mergeCell ref="BE217:BE222"/>
    <mergeCell ref="BE223:BE228"/>
    <mergeCell ref="BE229:BE234"/>
    <mergeCell ref="BE235:BE240"/>
    <mergeCell ref="BE241:BE246"/>
    <mergeCell ref="BE247:BE252"/>
    <mergeCell ref="BE181:BE186"/>
    <mergeCell ref="BE187:BE192"/>
    <mergeCell ref="BE193:BE198"/>
    <mergeCell ref="BE199:BE204"/>
    <mergeCell ref="BE205:BE210"/>
    <mergeCell ref="BE211:BE216"/>
    <mergeCell ref="Z337:Z342"/>
    <mergeCell ref="AA337:AA342"/>
    <mergeCell ref="BD79:BD84"/>
    <mergeCell ref="BD85:BD90"/>
    <mergeCell ref="BD91:BD96"/>
    <mergeCell ref="BD97:BD102"/>
    <mergeCell ref="BD103:BD108"/>
    <mergeCell ref="BD313:BD318"/>
    <mergeCell ref="BD319:BD324"/>
    <mergeCell ref="BD253:BD258"/>
    <mergeCell ref="BD259:BD264"/>
    <mergeCell ref="BD265:BD270"/>
    <mergeCell ref="BD271:BD276"/>
    <mergeCell ref="BD277:BD282"/>
    <mergeCell ref="BD283:BD288"/>
    <mergeCell ref="BD217:BD222"/>
    <mergeCell ref="BD223:BD228"/>
    <mergeCell ref="BD229:BD234"/>
    <mergeCell ref="BD235:BD240"/>
    <mergeCell ref="BD241:BD246"/>
    <mergeCell ref="BD247:BD252"/>
    <mergeCell ref="BD181:BD186"/>
    <mergeCell ref="BD187:BD192"/>
    <mergeCell ref="BD193:BD198"/>
    <mergeCell ref="BD199:BD204"/>
    <mergeCell ref="BD205:BD210"/>
    <mergeCell ref="BD211:BD216"/>
    <mergeCell ref="AB337:AB342"/>
    <mergeCell ref="AD337:AD342"/>
    <mergeCell ref="AF337:AF342"/>
    <mergeCell ref="AC337:AC342"/>
    <mergeCell ref="Z325:Z330"/>
    <mergeCell ref="J349:J354"/>
    <mergeCell ref="K349:K354"/>
    <mergeCell ref="Z361:Z366"/>
    <mergeCell ref="AA361:AA366"/>
    <mergeCell ref="AB361:AB366"/>
    <mergeCell ref="AD361:AD366"/>
    <mergeCell ref="AF361:AF366"/>
    <mergeCell ref="AG5:AI5"/>
    <mergeCell ref="AJ5:AY5"/>
    <mergeCell ref="AZ5:BA5"/>
    <mergeCell ref="T361:T366"/>
    <mergeCell ref="U361:U366"/>
    <mergeCell ref="V361:V366"/>
    <mergeCell ref="W361:W366"/>
    <mergeCell ref="X361:X366"/>
    <mergeCell ref="Y361:Y366"/>
    <mergeCell ref="AF355:AF360"/>
    <mergeCell ref="Z349:Z354"/>
    <mergeCell ref="AA349:AA354"/>
    <mergeCell ref="AB349:AB354"/>
    <mergeCell ref="AD349:AD354"/>
    <mergeCell ref="AF349:AF354"/>
    <mergeCell ref="Y343:Y348"/>
    <mergeCell ref="Z343:Z348"/>
    <mergeCell ref="AA343:AA348"/>
    <mergeCell ref="AB343:AB348"/>
    <mergeCell ref="AD343:AD348"/>
    <mergeCell ref="AF343:AF348"/>
    <mergeCell ref="U355:U360"/>
    <mergeCell ref="V355:V360"/>
    <mergeCell ref="W355:W360"/>
    <mergeCell ref="X355:X360"/>
    <mergeCell ref="BB5:BC5"/>
    <mergeCell ref="BD5:BE5"/>
    <mergeCell ref="BD13:BD18"/>
    <mergeCell ref="BD19:BD24"/>
    <mergeCell ref="BD25:BD30"/>
    <mergeCell ref="BD31:BD36"/>
    <mergeCell ref="BD145:BD150"/>
    <mergeCell ref="BD151:BD156"/>
    <mergeCell ref="BD157:BD162"/>
    <mergeCell ref="BD163:BD168"/>
    <mergeCell ref="BD169:BD174"/>
    <mergeCell ref="BD175:BD180"/>
    <mergeCell ref="BD109:BD114"/>
    <mergeCell ref="BD115:BD120"/>
    <mergeCell ref="BD121:BD126"/>
    <mergeCell ref="BD127:BD132"/>
    <mergeCell ref="BD133:BD138"/>
    <mergeCell ref="BD139:BD144"/>
    <mergeCell ref="BD73:BD78"/>
    <mergeCell ref="BE109:BE114"/>
    <mergeCell ref="BE115:BE120"/>
    <mergeCell ref="BE121:BE126"/>
    <mergeCell ref="BE127:BE132"/>
    <mergeCell ref="BE133:BE138"/>
    <mergeCell ref="BE139:BE144"/>
    <mergeCell ref="BE73:BE78"/>
    <mergeCell ref="BE79:BE84"/>
    <mergeCell ref="BE85:BE90"/>
    <mergeCell ref="BE91:BE96"/>
    <mergeCell ref="BE97:BE102"/>
    <mergeCell ref="BE103:BE108"/>
    <mergeCell ref="BE145:BE150"/>
    <mergeCell ref="L349:L354"/>
    <mergeCell ref="M349:M354"/>
    <mergeCell ref="N361:N366"/>
    <mergeCell ref="O361:O366"/>
    <mergeCell ref="P361:P366"/>
    <mergeCell ref="Q361:Q366"/>
    <mergeCell ref="R361:R366"/>
    <mergeCell ref="S361:S366"/>
    <mergeCell ref="H361:H366"/>
    <mergeCell ref="I361:I366"/>
    <mergeCell ref="J361:J366"/>
    <mergeCell ref="K361:K366"/>
    <mergeCell ref="L361:L366"/>
    <mergeCell ref="M361:M366"/>
    <mergeCell ref="S355:S360"/>
    <mergeCell ref="P343:P348"/>
    <mergeCell ref="Q343:Q348"/>
    <mergeCell ref="R343:R348"/>
    <mergeCell ref="H343:H348"/>
    <mergeCell ref="I343:I348"/>
    <mergeCell ref="J343:J348"/>
    <mergeCell ref="M355:M360"/>
    <mergeCell ref="N355:N360"/>
    <mergeCell ref="O355:O360"/>
    <mergeCell ref="P355:P360"/>
    <mergeCell ref="Q355:Q360"/>
    <mergeCell ref="R355:R360"/>
    <mergeCell ref="H355:H360"/>
    <mergeCell ref="I355:I360"/>
    <mergeCell ref="J355:J360"/>
    <mergeCell ref="H349:H354"/>
    <mergeCell ref="I349:I354"/>
    <mergeCell ref="AC343:AC348"/>
    <mergeCell ref="AE337:AE342"/>
    <mergeCell ref="AE343:AE348"/>
    <mergeCell ref="K355:K360"/>
    <mergeCell ref="L355:L360"/>
    <mergeCell ref="T349:T354"/>
    <mergeCell ref="U349:U354"/>
    <mergeCell ref="V349:V354"/>
    <mergeCell ref="W349:W354"/>
    <mergeCell ref="X349:X354"/>
    <mergeCell ref="Y349:Y354"/>
    <mergeCell ref="N349:N354"/>
    <mergeCell ref="O349:O354"/>
    <mergeCell ref="P349:P354"/>
    <mergeCell ref="Q349:Q354"/>
    <mergeCell ref="R349:R354"/>
    <mergeCell ref="S349:S354"/>
    <mergeCell ref="Y355:Y360"/>
    <mergeCell ref="Z355:Z360"/>
    <mergeCell ref="AA355:AA360"/>
    <mergeCell ref="AB355:AB360"/>
    <mergeCell ref="AD355:AD360"/>
    <mergeCell ref="T355:T360"/>
    <mergeCell ref="K343:K348"/>
    <mergeCell ref="L343:L348"/>
    <mergeCell ref="T337:T342"/>
    <mergeCell ref="U337:U342"/>
    <mergeCell ref="V337:V342"/>
    <mergeCell ref="W337:W342"/>
    <mergeCell ref="X337:X342"/>
    <mergeCell ref="Y337:Y342"/>
    <mergeCell ref="N337:N342"/>
    <mergeCell ref="O337:O342"/>
    <mergeCell ref="P337:P342"/>
    <mergeCell ref="Q337:Q342"/>
    <mergeCell ref="R337:R342"/>
    <mergeCell ref="S337:S342"/>
    <mergeCell ref="H337:H342"/>
    <mergeCell ref="I337:I342"/>
    <mergeCell ref="J337:J342"/>
    <mergeCell ref="K337:K342"/>
    <mergeCell ref="L337:L342"/>
    <mergeCell ref="M337:M342"/>
    <mergeCell ref="S343:S348"/>
    <mergeCell ref="T343:T348"/>
    <mergeCell ref="U343:U348"/>
    <mergeCell ref="V343:V348"/>
    <mergeCell ref="W343:W348"/>
    <mergeCell ref="X343:X348"/>
    <mergeCell ref="M343:M348"/>
    <mergeCell ref="N343:N348"/>
    <mergeCell ref="O343:O348"/>
    <mergeCell ref="Z331:Z336"/>
    <mergeCell ref="AA331:AA336"/>
    <mergeCell ref="AB331:AB336"/>
    <mergeCell ref="AD331:AD336"/>
    <mergeCell ref="AF331:AF336"/>
    <mergeCell ref="S331:S336"/>
    <mergeCell ref="T331:T336"/>
    <mergeCell ref="U331:U336"/>
    <mergeCell ref="V331:V336"/>
    <mergeCell ref="W331:W336"/>
    <mergeCell ref="X331:X336"/>
    <mergeCell ref="M331:M336"/>
    <mergeCell ref="N331:N336"/>
    <mergeCell ref="O331:O336"/>
    <mergeCell ref="P331:P336"/>
    <mergeCell ref="Q331:Q336"/>
    <mergeCell ref="R331:R336"/>
    <mergeCell ref="AA325:AA330"/>
    <mergeCell ref="AB325:AB330"/>
    <mergeCell ref="AD325:AD330"/>
    <mergeCell ref="AF325:AF330"/>
    <mergeCell ref="H331:H336"/>
    <mergeCell ref="I331:I336"/>
    <mergeCell ref="J331:J336"/>
    <mergeCell ref="K331:K336"/>
    <mergeCell ref="L331:L336"/>
    <mergeCell ref="T325:T330"/>
    <mergeCell ref="U325:U330"/>
    <mergeCell ref="V325:V330"/>
    <mergeCell ref="W325:W330"/>
    <mergeCell ref="X325:X330"/>
    <mergeCell ref="Y325:Y330"/>
    <mergeCell ref="N325:N330"/>
    <mergeCell ref="O325:O330"/>
    <mergeCell ref="P325:P330"/>
    <mergeCell ref="Q325:Q330"/>
    <mergeCell ref="R325:R330"/>
    <mergeCell ref="S325:S330"/>
    <mergeCell ref="H325:H330"/>
    <mergeCell ref="I325:I330"/>
    <mergeCell ref="J325:J330"/>
    <mergeCell ref="K325:K330"/>
    <mergeCell ref="L325:L330"/>
    <mergeCell ref="M325:M330"/>
    <mergeCell ref="AC325:AC330"/>
    <mergeCell ref="AC331:AC336"/>
    <mergeCell ref="AE325:AE330"/>
    <mergeCell ref="AE331:AE336"/>
    <mergeCell ref="Y331:Y336"/>
    <mergeCell ref="Y319:Y324"/>
    <mergeCell ref="Z319:Z324"/>
    <mergeCell ref="AA319:AA324"/>
    <mergeCell ref="AB319:AB324"/>
    <mergeCell ref="AD319:AD324"/>
    <mergeCell ref="AF319:AF324"/>
    <mergeCell ref="S319:S324"/>
    <mergeCell ref="T319:T324"/>
    <mergeCell ref="U319:U324"/>
    <mergeCell ref="V319:V324"/>
    <mergeCell ref="W319:W324"/>
    <mergeCell ref="X319:X324"/>
    <mergeCell ref="M319:M324"/>
    <mergeCell ref="N319:N324"/>
    <mergeCell ref="O319:O324"/>
    <mergeCell ref="P319:P324"/>
    <mergeCell ref="Q319:Q324"/>
    <mergeCell ref="R319:R324"/>
    <mergeCell ref="Z313:Z318"/>
    <mergeCell ref="AA313:AA318"/>
    <mergeCell ref="AB313:AB318"/>
    <mergeCell ref="AD313:AD318"/>
    <mergeCell ref="AF313:AF318"/>
    <mergeCell ref="H319:H324"/>
    <mergeCell ref="I319:I324"/>
    <mergeCell ref="J319:J324"/>
    <mergeCell ref="K319:K324"/>
    <mergeCell ref="L319:L324"/>
    <mergeCell ref="T313:T318"/>
    <mergeCell ref="U313:U318"/>
    <mergeCell ref="V313:V318"/>
    <mergeCell ref="W313:W318"/>
    <mergeCell ref="X313:X318"/>
    <mergeCell ref="Y313:Y318"/>
    <mergeCell ref="N313:N318"/>
    <mergeCell ref="O313:O318"/>
    <mergeCell ref="P313:P318"/>
    <mergeCell ref="Q313:Q318"/>
    <mergeCell ref="R313:R318"/>
    <mergeCell ref="S313:S318"/>
    <mergeCell ref="H313:H318"/>
    <mergeCell ref="I313:I318"/>
    <mergeCell ref="J313:J318"/>
    <mergeCell ref="K313:K318"/>
    <mergeCell ref="L313:L318"/>
    <mergeCell ref="M313:M318"/>
    <mergeCell ref="AC313:AC318"/>
    <mergeCell ref="AC319:AC324"/>
    <mergeCell ref="AE313:AE318"/>
    <mergeCell ref="AE319:AE324"/>
    <mergeCell ref="Y307:Y312"/>
    <mergeCell ref="Z307:Z312"/>
    <mergeCell ref="AA307:AA312"/>
    <mergeCell ref="AB307:AB312"/>
    <mergeCell ref="AD307:AD312"/>
    <mergeCell ref="AF307:AF312"/>
    <mergeCell ref="S307:S312"/>
    <mergeCell ref="T307:T312"/>
    <mergeCell ref="U307:U312"/>
    <mergeCell ref="V307:V312"/>
    <mergeCell ref="W307:W312"/>
    <mergeCell ref="X307:X312"/>
    <mergeCell ref="M307:M312"/>
    <mergeCell ref="N307:N312"/>
    <mergeCell ref="O307:O312"/>
    <mergeCell ref="P307:P312"/>
    <mergeCell ref="Q307:Q312"/>
    <mergeCell ref="R307:R312"/>
    <mergeCell ref="Z301:Z306"/>
    <mergeCell ref="AA301:AA306"/>
    <mergeCell ref="AB301:AB306"/>
    <mergeCell ref="AD301:AD306"/>
    <mergeCell ref="AF301:AF306"/>
    <mergeCell ref="H307:H312"/>
    <mergeCell ref="I307:I312"/>
    <mergeCell ref="J307:J312"/>
    <mergeCell ref="K307:K312"/>
    <mergeCell ref="L307:L312"/>
    <mergeCell ref="T301:T306"/>
    <mergeCell ref="U301:U306"/>
    <mergeCell ref="V301:V306"/>
    <mergeCell ref="W301:W306"/>
    <mergeCell ref="X301:X306"/>
    <mergeCell ref="Y301:Y306"/>
    <mergeCell ref="N301:N306"/>
    <mergeCell ref="O301:O306"/>
    <mergeCell ref="P301:P306"/>
    <mergeCell ref="Q301:Q306"/>
    <mergeCell ref="R301:R306"/>
    <mergeCell ref="S301:S306"/>
    <mergeCell ref="H301:H306"/>
    <mergeCell ref="I301:I306"/>
    <mergeCell ref="J301:J306"/>
    <mergeCell ref="K301:K306"/>
    <mergeCell ref="L301:L306"/>
    <mergeCell ref="M301:M306"/>
    <mergeCell ref="AC301:AC306"/>
    <mergeCell ref="AC307:AC312"/>
    <mergeCell ref="AE301:AE306"/>
    <mergeCell ref="AE307:AE312"/>
    <mergeCell ref="Y295:Y300"/>
    <mergeCell ref="Z295:Z300"/>
    <mergeCell ref="AA295:AA300"/>
    <mergeCell ref="AB295:AB300"/>
    <mergeCell ref="AD295:AD300"/>
    <mergeCell ref="AF295:AF300"/>
    <mergeCell ref="S295:S300"/>
    <mergeCell ref="T295:T300"/>
    <mergeCell ref="U295:U300"/>
    <mergeCell ref="V295:V300"/>
    <mergeCell ref="W295:W300"/>
    <mergeCell ref="X295:X300"/>
    <mergeCell ref="M295:M300"/>
    <mergeCell ref="N295:N300"/>
    <mergeCell ref="O295:O300"/>
    <mergeCell ref="P295:P300"/>
    <mergeCell ref="Q295:Q300"/>
    <mergeCell ref="R295:R300"/>
    <mergeCell ref="Z289:Z294"/>
    <mergeCell ref="AA289:AA294"/>
    <mergeCell ref="AB289:AB294"/>
    <mergeCell ref="AD289:AD294"/>
    <mergeCell ref="AF289:AF294"/>
    <mergeCell ref="H295:H300"/>
    <mergeCell ref="I295:I300"/>
    <mergeCell ref="J295:J300"/>
    <mergeCell ref="K295:K300"/>
    <mergeCell ref="L295:L300"/>
    <mergeCell ref="T289:T294"/>
    <mergeCell ref="U289:U294"/>
    <mergeCell ref="V289:V294"/>
    <mergeCell ref="W289:W294"/>
    <mergeCell ref="X289:X294"/>
    <mergeCell ref="Y289:Y294"/>
    <mergeCell ref="N289:N294"/>
    <mergeCell ref="O289:O294"/>
    <mergeCell ref="P289:P294"/>
    <mergeCell ref="Q289:Q294"/>
    <mergeCell ref="R289:R294"/>
    <mergeCell ref="S289:S294"/>
    <mergeCell ref="H289:H294"/>
    <mergeCell ref="I289:I294"/>
    <mergeCell ref="J289:J294"/>
    <mergeCell ref="K289:K294"/>
    <mergeCell ref="L289:L294"/>
    <mergeCell ref="M289:M294"/>
    <mergeCell ref="AC289:AC294"/>
    <mergeCell ref="AC295:AC300"/>
    <mergeCell ref="AE289:AE294"/>
    <mergeCell ref="AE295:AE300"/>
    <mergeCell ref="Y283:Y288"/>
    <mergeCell ref="Z283:Z288"/>
    <mergeCell ref="AA283:AA288"/>
    <mergeCell ref="AB283:AB288"/>
    <mergeCell ref="AD283:AD288"/>
    <mergeCell ref="AF283:AF288"/>
    <mergeCell ref="S283:S288"/>
    <mergeCell ref="T283:T288"/>
    <mergeCell ref="U283:U288"/>
    <mergeCell ref="V283:V288"/>
    <mergeCell ref="W283:W288"/>
    <mergeCell ref="X283:X288"/>
    <mergeCell ref="M283:M288"/>
    <mergeCell ref="N283:N288"/>
    <mergeCell ref="O283:O288"/>
    <mergeCell ref="P283:P288"/>
    <mergeCell ref="Q283:Q288"/>
    <mergeCell ref="R283:R288"/>
    <mergeCell ref="Z277:Z282"/>
    <mergeCell ref="AA277:AA282"/>
    <mergeCell ref="AB277:AB282"/>
    <mergeCell ref="AD277:AD282"/>
    <mergeCell ref="AF277:AF282"/>
    <mergeCell ref="H283:H288"/>
    <mergeCell ref="I283:I288"/>
    <mergeCell ref="J283:J288"/>
    <mergeCell ref="K283:K288"/>
    <mergeCell ref="L283:L288"/>
    <mergeCell ref="T277:T282"/>
    <mergeCell ref="U277:U282"/>
    <mergeCell ref="V277:V282"/>
    <mergeCell ref="W277:W282"/>
    <mergeCell ref="X277:X282"/>
    <mergeCell ref="Y277:Y282"/>
    <mergeCell ref="N277:N282"/>
    <mergeCell ref="O277:O282"/>
    <mergeCell ref="P277:P282"/>
    <mergeCell ref="Q277:Q282"/>
    <mergeCell ref="R277:R282"/>
    <mergeCell ref="S277:S282"/>
    <mergeCell ref="H277:H282"/>
    <mergeCell ref="I277:I282"/>
    <mergeCell ref="J277:J282"/>
    <mergeCell ref="K277:K282"/>
    <mergeCell ref="L277:L282"/>
    <mergeCell ref="M277:M282"/>
    <mergeCell ref="AC277:AC282"/>
    <mergeCell ref="AC283:AC288"/>
    <mergeCell ref="AE277:AE282"/>
    <mergeCell ref="AE283:AE288"/>
    <mergeCell ref="Y271:Y276"/>
    <mergeCell ref="Z271:Z276"/>
    <mergeCell ref="AA271:AA276"/>
    <mergeCell ref="AB271:AB276"/>
    <mergeCell ref="AD271:AD276"/>
    <mergeCell ref="AF271:AF276"/>
    <mergeCell ref="S271:S276"/>
    <mergeCell ref="T271:T276"/>
    <mergeCell ref="U271:U276"/>
    <mergeCell ref="V271:V276"/>
    <mergeCell ref="W271:W276"/>
    <mergeCell ref="X271:X276"/>
    <mergeCell ref="M271:M276"/>
    <mergeCell ref="N271:N276"/>
    <mergeCell ref="O271:O276"/>
    <mergeCell ref="P271:P276"/>
    <mergeCell ref="Q271:Q276"/>
    <mergeCell ref="R271:R276"/>
    <mergeCell ref="Z265:Z270"/>
    <mergeCell ref="AA265:AA270"/>
    <mergeCell ref="AB265:AB270"/>
    <mergeCell ref="AD265:AD270"/>
    <mergeCell ref="AF265:AF270"/>
    <mergeCell ref="H271:H276"/>
    <mergeCell ref="I271:I276"/>
    <mergeCell ref="J271:J276"/>
    <mergeCell ref="K271:K276"/>
    <mergeCell ref="L271:L276"/>
    <mergeCell ref="T265:T270"/>
    <mergeCell ref="U265:U270"/>
    <mergeCell ref="V265:V270"/>
    <mergeCell ref="W265:W270"/>
    <mergeCell ref="X265:X270"/>
    <mergeCell ref="Y265:Y270"/>
    <mergeCell ref="N265:N270"/>
    <mergeCell ref="O265:O270"/>
    <mergeCell ref="P265:P270"/>
    <mergeCell ref="Q265:Q270"/>
    <mergeCell ref="R265:R270"/>
    <mergeCell ref="S265:S270"/>
    <mergeCell ref="H265:H270"/>
    <mergeCell ref="I265:I270"/>
    <mergeCell ref="J265:J270"/>
    <mergeCell ref="K265:K270"/>
    <mergeCell ref="L265:L270"/>
    <mergeCell ref="M265:M270"/>
    <mergeCell ref="AC265:AC270"/>
    <mergeCell ref="AC271:AC276"/>
    <mergeCell ref="AE265:AE270"/>
    <mergeCell ref="AE271:AE276"/>
    <mergeCell ref="Y259:Y264"/>
    <mergeCell ref="Z259:Z264"/>
    <mergeCell ref="AA259:AA264"/>
    <mergeCell ref="AB259:AB264"/>
    <mergeCell ref="AD259:AD264"/>
    <mergeCell ref="AF259:AF264"/>
    <mergeCell ref="S259:S264"/>
    <mergeCell ref="T259:T264"/>
    <mergeCell ref="U259:U264"/>
    <mergeCell ref="V259:V264"/>
    <mergeCell ref="W259:W264"/>
    <mergeCell ref="X259:X264"/>
    <mergeCell ref="M259:M264"/>
    <mergeCell ref="N259:N264"/>
    <mergeCell ref="O259:O264"/>
    <mergeCell ref="P259:P264"/>
    <mergeCell ref="Q259:Q264"/>
    <mergeCell ref="R259:R264"/>
    <mergeCell ref="Z253:Z258"/>
    <mergeCell ref="AA253:AA258"/>
    <mergeCell ref="AB253:AB258"/>
    <mergeCell ref="AD253:AD258"/>
    <mergeCell ref="AF253:AF258"/>
    <mergeCell ref="H259:H264"/>
    <mergeCell ref="I259:I264"/>
    <mergeCell ref="J259:J264"/>
    <mergeCell ref="K259:K264"/>
    <mergeCell ref="L259:L264"/>
    <mergeCell ref="T253:T258"/>
    <mergeCell ref="U253:U258"/>
    <mergeCell ref="V253:V258"/>
    <mergeCell ref="W253:W258"/>
    <mergeCell ref="X253:X258"/>
    <mergeCell ref="Y253:Y258"/>
    <mergeCell ref="N253:N258"/>
    <mergeCell ref="O253:O258"/>
    <mergeCell ref="P253:P258"/>
    <mergeCell ref="Q253:Q258"/>
    <mergeCell ref="R253:R258"/>
    <mergeCell ref="S253:S258"/>
    <mergeCell ref="H253:H258"/>
    <mergeCell ref="I253:I258"/>
    <mergeCell ref="J253:J258"/>
    <mergeCell ref="K253:K258"/>
    <mergeCell ref="L253:L258"/>
    <mergeCell ref="M253:M258"/>
    <mergeCell ref="AC253:AC258"/>
    <mergeCell ref="AC259:AC264"/>
    <mergeCell ref="AE253:AE258"/>
    <mergeCell ref="AE259:AE264"/>
    <mergeCell ref="Y247:Y252"/>
    <mergeCell ref="Z247:Z252"/>
    <mergeCell ref="AA247:AA252"/>
    <mergeCell ref="AB247:AB252"/>
    <mergeCell ref="AD247:AD252"/>
    <mergeCell ref="AF247:AF252"/>
    <mergeCell ref="S247:S252"/>
    <mergeCell ref="T247:T252"/>
    <mergeCell ref="U247:U252"/>
    <mergeCell ref="V247:V252"/>
    <mergeCell ref="W247:W252"/>
    <mergeCell ref="X247:X252"/>
    <mergeCell ref="M247:M252"/>
    <mergeCell ref="N247:N252"/>
    <mergeCell ref="O247:O252"/>
    <mergeCell ref="P247:P252"/>
    <mergeCell ref="Q247:Q252"/>
    <mergeCell ref="R247:R252"/>
    <mergeCell ref="Z241:Z246"/>
    <mergeCell ref="AA241:AA246"/>
    <mergeCell ref="AB241:AB246"/>
    <mergeCell ref="AD241:AD246"/>
    <mergeCell ref="AF241:AF246"/>
    <mergeCell ref="H247:H252"/>
    <mergeCell ref="I247:I252"/>
    <mergeCell ref="J247:J252"/>
    <mergeCell ref="K247:K252"/>
    <mergeCell ref="L247:L252"/>
    <mergeCell ref="T241:T246"/>
    <mergeCell ref="U241:U246"/>
    <mergeCell ref="V241:V246"/>
    <mergeCell ref="W241:W246"/>
    <mergeCell ref="X241:X246"/>
    <mergeCell ref="Y241:Y246"/>
    <mergeCell ref="N241:N246"/>
    <mergeCell ref="O241:O246"/>
    <mergeCell ref="P241:P246"/>
    <mergeCell ref="Q241:Q246"/>
    <mergeCell ref="R241:R246"/>
    <mergeCell ref="S241:S246"/>
    <mergeCell ref="H241:H246"/>
    <mergeCell ref="I241:I246"/>
    <mergeCell ref="J241:J246"/>
    <mergeCell ref="K241:K246"/>
    <mergeCell ref="L241:L246"/>
    <mergeCell ref="M241:M246"/>
    <mergeCell ref="AC241:AC246"/>
    <mergeCell ref="AC247:AC252"/>
    <mergeCell ref="AE241:AE246"/>
    <mergeCell ref="AE247:AE252"/>
    <mergeCell ref="Y235:Y240"/>
    <mergeCell ref="Z235:Z240"/>
    <mergeCell ref="AA235:AA240"/>
    <mergeCell ref="AB235:AB240"/>
    <mergeCell ref="AD235:AD240"/>
    <mergeCell ref="AF235:AF240"/>
    <mergeCell ref="S235:S240"/>
    <mergeCell ref="T235:T240"/>
    <mergeCell ref="U235:U240"/>
    <mergeCell ref="V235:V240"/>
    <mergeCell ref="W235:W240"/>
    <mergeCell ref="X235:X240"/>
    <mergeCell ref="M235:M240"/>
    <mergeCell ref="N235:N240"/>
    <mergeCell ref="O235:O240"/>
    <mergeCell ref="P235:P240"/>
    <mergeCell ref="Q235:Q240"/>
    <mergeCell ref="R235:R240"/>
    <mergeCell ref="Z229:Z234"/>
    <mergeCell ref="AA229:AA234"/>
    <mergeCell ref="AB229:AB234"/>
    <mergeCell ref="AD229:AD234"/>
    <mergeCell ref="AF229:AF234"/>
    <mergeCell ref="H235:H240"/>
    <mergeCell ref="I235:I240"/>
    <mergeCell ref="J235:J240"/>
    <mergeCell ref="K235:K240"/>
    <mergeCell ref="L235:L240"/>
    <mergeCell ref="T229:T234"/>
    <mergeCell ref="U229:U234"/>
    <mergeCell ref="V229:V234"/>
    <mergeCell ref="W229:W234"/>
    <mergeCell ref="X229:X234"/>
    <mergeCell ref="Y229:Y234"/>
    <mergeCell ref="N229:N234"/>
    <mergeCell ref="O229:O234"/>
    <mergeCell ref="P229:P234"/>
    <mergeCell ref="Q229:Q234"/>
    <mergeCell ref="R229:R234"/>
    <mergeCell ref="S229:S234"/>
    <mergeCell ref="H229:H234"/>
    <mergeCell ref="I229:I234"/>
    <mergeCell ref="J229:J234"/>
    <mergeCell ref="K229:K234"/>
    <mergeCell ref="L229:L234"/>
    <mergeCell ref="M229:M234"/>
    <mergeCell ref="AC229:AC234"/>
    <mergeCell ref="AC235:AC240"/>
    <mergeCell ref="AE229:AE234"/>
    <mergeCell ref="AE235:AE240"/>
    <mergeCell ref="Y223:Y228"/>
    <mergeCell ref="Z223:Z228"/>
    <mergeCell ref="AA223:AA228"/>
    <mergeCell ref="AB223:AB228"/>
    <mergeCell ref="AD223:AD228"/>
    <mergeCell ref="AF223:AF228"/>
    <mergeCell ref="S223:S228"/>
    <mergeCell ref="T223:T228"/>
    <mergeCell ref="U223:U228"/>
    <mergeCell ref="V223:V228"/>
    <mergeCell ref="W223:W228"/>
    <mergeCell ref="X223:X228"/>
    <mergeCell ref="M223:M228"/>
    <mergeCell ref="N223:N228"/>
    <mergeCell ref="O223:O228"/>
    <mergeCell ref="P223:P228"/>
    <mergeCell ref="Q223:Q228"/>
    <mergeCell ref="R223:R228"/>
    <mergeCell ref="Z217:Z222"/>
    <mergeCell ref="AA217:AA222"/>
    <mergeCell ref="AB217:AB222"/>
    <mergeCell ref="AD217:AD222"/>
    <mergeCell ref="AF217:AF222"/>
    <mergeCell ref="H223:H228"/>
    <mergeCell ref="I223:I228"/>
    <mergeCell ref="J223:J228"/>
    <mergeCell ref="K223:K228"/>
    <mergeCell ref="L223:L228"/>
    <mergeCell ref="T217:T222"/>
    <mergeCell ref="U217:U222"/>
    <mergeCell ref="V217:V222"/>
    <mergeCell ref="W217:W222"/>
    <mergeCell ref="X217:X222"/>
    <mergeCell ref="Y217:Y222"/>
    <mergeCell ref="N217:N222"/>
    <mergeCell ref="O217:O222"/>
    <mergeCell ref="P217:P222"/>
    <mergeCell ref="Q217:Q222"/>
    <mergeCell ref="R217:R222"/>
    <mergeCell ref="S217:S222"/>
    <mergeCell ref="H217:H222"/>
    <mergeCell ref="I217:I222"/>
    <mergeCell ref="J217:J222"/>
    <mergeCell ref="K217:K222"/>
    <mergeCell ref="L217:L222"/>
    <mergeCell ref="M217:M222"/>
    <mergeCell ref="AC217:AC222"/>
    <mergeCell ref="AC223:AC228"/>
    <mergeCell ref="AE217:AE222"/>
    <mergeCell ref="AE223:AE228"/>
    <mergeCell ref="Y211:Y216"/>
    <mergeCell ref="Z211:Z216"/>
    <mergeCell ref="AA211:AA216"/>
    <mergeCell ref="AB211:AB216"/>
    <mergeCell ref="AD211:AD216"/>
    <mergeCell ref="AF211:AF216"/>
    <mergeCell ref="S211:S216"/>
    <mergeCell ref="T211:T216"/>
    <mergeCell ref="U211:U216"/>
    <mergeCell ref="V211:V216"/>
    <mergeCell ref="W211:W216"/>
    <mergeCell ref="X211:X216"/>
    <mergeCell ref="M211:M216"/>
    <mergeCell ref="N211:N216"/>
    <mergeCell ref="O211:O216"/>
    <mergeCell ref="P211:P216"/>
    <mergeCell ref="Q211:Q216"/>
    <mergeCell ref="R211:R216"/>
    <mergeCell ref="Z205:Z210"/>
    <mergeCell ref="AA205:AA210"/>
    <mergeCell ref="AB205:AB210"/>
    <mergeCell ref="AD205:AD210"/>
    <mergeCell ref="AF205:AF210"/>
    <mergeCell ref="H211:H216"/>
    <mergeCell ref="I211:I216"/>
    <mergeCell ref="J211:J216"/>
    <mergeCell ref="K211:K216"/>
    <mergeCell ref="L211:L216"/>
    <mergeCell ref="T205:T210"/>
    <mergeCell ref="U205:U210"/>
    <mergeCell ref="V205:V210"/>
    <mergeCell ref="W205:W210"/>
    <mergeCell ref="X205:X210"/>
    <mergeCell ref="Y205:Y210"/>
    <mergeCell ref="N205:N210"/>
    <mergeCell ref="O205:O210"/>
    <mergeCell ref="P205:P210"/>
    <mergeCell ref="Q205:Q210"/>
    <mergeCell ref="R205:R210"/>
    <mergeCell ref="S205:S210"/>
    <mergeCell ref="H205:H210"/>
    <mergeCell ref="I205:I210"/>
    <mergeCell ref="J205:J210"/>
    <mergeCell ref="K205:K210"/>
    <mergeCell ref="L205:L210"/>
    <mergeCell ref="M205:M210"/>
    <mergeCell ref="AC205:AC210"/>
    <mergeCell ref="AC211:AC216"/>
    <mergeCell ref="AE205:AE210"/>
    <mergeCell ref="AE211:AE216"/>
    <mergeCell ref="Y199:Y204"/>
    <mergeCell ref="Z199:Z204"/>
    <mergeCell ref="AA199:AA204"/>
    <mergeCell ref="AB199:AB204"/>
    <mergeCell ref="AD199:AD204"/>
    <mergeCell ref="AF199:AF204"/>
    <mergeCell ref="S199:S204"/>
    <mergeCell ref="T199:T204"/>
    <mergeCell ref="U199:U204"/>
    <mergeCell ref="V199:V204"/>
    <mergeCell ref="W199:W204"/>
    <mergeCell ref="X199:X204"/>
    <mergeCell ref="M199:M204"/>
    <mergeCell ref="N199:N204"/>
    <mergeCell ref="O199:O204"/>
    <mergeCell ref="P199:P204"/>
    <mergeCell ref="Q199:Q204"/>
    <mergeCell ref="R199:R204"/>
    <mergeCell ref="Z193:Z198"/>
    <mergeCell ref="AA193:AA198"/>
    <mergeCell ref="AB193:AB198"/>
    <mergeCell ref="AD193:AD198"/>
    <mergeCell ref="AF193:AF198"/>
    <mergeCell ref="H199:H204"/>
    <mergeCell ref="I199:I204"/>
    <mergeCell ref="J199:J204"/>
    <mergeCell ref="K199:K204"/>
    <mergeCell ref="L199:L204"/>
    <mergeCell ref="T193:T198"/>
    <mergeCell ref="U193:U198"/>
    <mergeCell ref="V193:V198"/>
    <mergeCell ref="W193:W198"/>
    <mergeCell ref="X193:X198"/>
    <mergeCell ref="Y193:Y198"/>
    <mergeCell ref="N193:N198"/>
    <mergeCell ref="O193:O198"/>
    <mergeCell ref="P193:P198"/>
    <mergeCell ref="Q193:Q198"/>
    <mergeCell ref="R193:R198"/>
    <mergeCell ref="S193:S198"/>
    <mergeCell ref="H193:H198"/>
    <mergeCell ref="I193:I198"/>
    <mergeCell ref="J193:J198"/>
    <mergeCell ref="K193:K198"/>
    <mergeCell ref="L193:L198"/>
    <mergeCell ref="M193:M198"/>
    <mergeCell ref="AC193:AC198"/>
    <mergeCell ref="AC199:AC204"/>
    <mergeCell ref="AE193:AE198"/>
    <mergeCell ref="AE199:AE204"/>
    <mergeCell ref="Y187:Y192"/>
    <mergeCell ref="Z187:Z192"/>
    <mergeCell ref="AA187:AA192"/>
    <mergeCell ref="AB187:AB192"/>
    <mergeCell ref="AD187:AD192"/>
    <mergeCell ref="AF187:AF192"/>
    <mergeCell ref="S187:S192"/>
    <mergeCell ref="T187:T192"/>
    <mergeCell ref="U187:U192"/>
    <mergeCell ref="V187:V192"/>
    <mergeCell ref="W187:W192"/>
    <mergeCell ref="X187:X192"/>
    <mergeCell ref="M187:M192"/>
    <mergeCell ref="N187:N192"/>
    <mergeCell ref="O187:O192"/>
    <mergeCell ref="P187:P192"/>
    <mergeCell ref="Q187:Q192"/>
    <mergeCell ref="R187:R192"/>
    <mergeCell ref="Z181:Z186"/>
    <mergeCell ref="AA181:AA186"/>
    <mergeCell ref="AB181:AB186"/>
    <mergeCell ref="AD181:AD186"/>
    <mergeCell ref="AF181:AF186"/>
    <mergeCell ref="H187:H192"/>
    <mergeCell ref="I187:I192"/>
    <mergeCell ref="J187:J192"/>
    <mergeCell ref="K187:K192"/>
    <mergeCell ref="L187:L192"/>
    <mergeCell ref="T181:T186"/>
    <mergeCell ref="U181:U186"/>
    <mergeCell ref="V181:V186"/>
    <mergeCell ref="W181:W186"/>
    <mergeCell ref="X181:X186"/>
    <mergeCell ref="Y181:Y186"/>
    <mergeCell ref="N181:N186"/>
    <mergeCell ref="O181:O186"/>
    <mergeCell ref="P181:P186"/>
    <mergeCell ref="Q181:Q186"/>
    <mergeCell ref="R181:R186"/>
    <mergeCell ref="S181:S186"/>
    <mergeCell ref="H181:H186"/>
    <mergeCell ref="I181:I186"/>
    <mergeCell ref="J181:J186"/>
    <mergeCell ref="K181:K186"/>
    <mergeCell ref="L181:L186"/>
    <mergeCell ref="M181:M186"/>
    <mergeCell ref="AC181:AC186"/>
    <mergeCell ref="AC187:AC192"/>
    <mergeCell ref="AE181:AE186"/>
    <mergeCell ref="AE187:AE192"/>
    <mergeCell ref="Y175:Y180"/>
    <mergeCell ref="Z175:Z180"/>
    <mergeCell ref="AA175:AA180"/>
    <mergeCell ref="AB175:AB180"/>
    <mergeCell ref="AD175:AD180"/>
    <mergeCell ref="AF175:AF180"/>
    <mergeCell ref="S175:S180"/>
    <mergeCell ref="T175:T180"/>
    <mergeCell ref="U175:U180"/>
    <mergeCell ref="V175:V180"/>
    <mergeCell ref="W175:W180"/>
    <mergeCell ref="X175:X180"/>
    <mergeCell ref="M175:M180"/>
    <mergeCell ref="N175:N180"/>
    <mergeCell ref="O175:O180"/>
    <mergeCell ref="P175:P180"/>
    <mergeCell ref="Q175:Q180"/>
    <mergeCell ref="R175:R180"/>
    <mergeCell ref="Z169:Z174"/>
    <mergeCell ref="AA169:AA174"/>
    <mergeCell ref="AB169:AB174"/>
    <mergeCell ref="AD169:AD174"/>
    <mergeCell ref="AF169:AF174"/>
    <mergeCell ref="H175:H180"/>
    <mergeCell ref="I175:I180"/>
    <mergeCell ref="J175:J180"/>
    <mergeCell ref="K175:K180"/>
    <mergeCell ref="L175:L180"/>
    <mergeCell ref="T169:T174"/>
    <mergeCell ref="U169:U174"/>
    <mergeCell ref="V169:V174"/>
    <mergeCell ref="W169:W174"/>
    <mergeCell ref="X169:X174"/>
    <mergeCell ref="Y169:Y174"/>
    <mergeCell ref="N169:N174"/>
    <mergeCell ref="O169:O174"/>
    <mergeCell ref="P169:P174"/>
    <mergeCell ref="Q169:Q174"/>
    <mergeCell ref="R169:R174"/>
    <mergeCell ref="S169:S174"/>
    <mergeCell ref="H169:H174"/>
    <mergeCell ref="I169:I174"/>
    <mergeCell ref="J169:J174"/>
    <mergeCell ref="K169:K174"/>
    <mergeCell ref="L169:L174"/>
    <mergeCell ref="M169:M174"/>
    <mergeCell ref="AC169:AC174"/>
    <mergeCell ref="AC175:AC180"/>
    <mergeCell ref="AE169:AE174"/>
    <mergeCell ref="AE175:AE180"/>
    <mergeCell ref="AC163:AC168"/>
    <mergeCell ref="AE163:AE168"/>
    <mergeCell ref="Y163:Y168"/>
    <mergeCell ref="Z163:Z168"/>
    <mergeCell ref="AA163:AA168"/>
    <mergeCell ref="AB163:AB168"/>
    <mergeCell ref="AD163:AD168"/>
    <mergeCell ref="AF163:AF168"/>
    <mergeCell ref="S163:S168"/>
    <mergeCell ref="T163:T168"/>
    <mergeCell ref="U163:U168"/>
    <mergeCell ref="V163:V168"/>
    <mergeCell ref="W163:W168"/>
    <mergeCell ref="X163:X168"/>
    <mergeCell ref="M163:M168"/>
    <mergeCell ref="N163:N168"/>
    <mergeCell ref="O163:O168"/>
    <mergeCell ref="P163:P168"/>
    <mergeCell ref="Q163:Q168"/>
    <mergeCell ref="R163:R168"/>
    <mergeCell ref="H163:H168"/>
    <mergeCell ref="I163:I168"/>
    <mergeCell ref="J163:J168"/>
    <mergeCell ref="K163:K168"/>
    <mergeCell ref="L163:L168"/>
    <mergeCell ref="T157:T162"/>
    <mergeCell ref="U157:U162"/>
    <mergeCell ref="V157:V162"/>
    <mergeCell ref="W157:W162"/>
    <mergeCell ref="X157:X162"/>
    <mergeCell ref="Y157:Y162"/>
    <mergeCell ref="N157:N162"/>
    <mergeCell ref="O157:O162"/>
    <mergeCell ref="P157:P162"/>
    <mergeCell ref="Q157:Q162"/>
    <mergeCell ref="R157:R162"/>
    <mergeCell ref="S157:S162"/>
    <mergeCell ref="H157:H162"/>
    <mergeCell ref="I157:I162"/>
    <mergeCell ref="J157:J162"/>
    <mergeCell ref="K157:K162"/>
    <mergeCell ref="L157:L162"/>
    <mergeCell ref="M157:M162"/>
    <mergeCell ref="AA151:AA156"/>
    <mergeCell ref="AB151:AB156"/>
    <mergeCell ref="AD151:AD156"/>
    <mergeCell ref="AF151:AF156"/>
    <mergeCell ref="S151:S156"/>
    <mergeCell ref="T151:T156"/>
    <mergeCell ref="U151:U156"/>
    <mergeCell ref="V151:V156"/>
    <mergeCell ref="W151:W156"/>
    <mergeCell ref="X151:X156"/>
    <mergeCell ref="M151:M156"/>
    <mergeCell ref="N151:N156"/>
    <mergeCell ref="O151:O156"/>
    <mergeCell ref="P151:P156"/>
    <mergeCell ref="Q151:Q156"/>
    <mergeCell ref="R151:R156"/>
    <mergeCell ref="Z157:Z162"/>
    <mergeCell ref="AA157:AA162"/>
    <mergeCell ref="AB157:AB162"/>
    <mergeCell ref="AD157:AD162"/>
    <mergeCell ref="AF157:AF162"/>
    <mergeCell ref="AC157:AC162"/>
    <mergeCell ref="Z145:Z150"/>
    <mergeCell ref="AA145:AA150"/>
    <mergeCell ref="AB145:AB150"/>
    <mergeCell ref="AD145:AD150"/>
    <mergeCell ref="AF145:AF150"/>
    <mergeCell ref="AC145:AC150"/>
    <mergeCell ref="H151:H156"/>
    <mergeCell ref="I151:I156"/>
    <mergeCell ref="J151:J156"/>
    <mergeCell ref="K151:K156"/>
    <mergeCell ref="L151:L156"/>
    <mergeCell ref="T145:T150"/>
    <mergeCell ref="U145:U150"/>
    <mergeCell ref="V145:V150"/>
    <mergeCell ref="W145:W150"/>
    <mergeCell ref="X145:X150"/>
    <mergeCell ref="Y145:Y150"/>
    <mergeCell ref="N145:N150"/>
    <mergeCell ref="O145:O150"/>
    <mergeCell ref="P145:P150"/>
    <mergeCell ref="Q145:Q150"/>
    <mergeCell ref="R145:R150"/>
    <mergeCell ref="S145:S150"/>
    <mergeCell ref="H145:H150"/>
    <mergeCell ref="I145:I150"/>
    <mergeCell ref="J145:J150"/>
    <mergeCell ref="K145:K150"/>
    <mergeCell ref="L145:L150"/>
    <mergeCell ref="M145:M150"/>
    <mergeCell ref="AC151:AC156"/>
    <mergeCell ref="Y151:Y156"/>
    <mergeCell ref="Z151:Z156"/>
    <mergeCell ref="AC139:AC144"/>
    <mergeCell ref="Y139:Y144"/>
    <mergeCell ref="Z139:Z144"/>
    <mergeCell ref="AA139:AA144"/>
    <mergeCell ref="AB139:AB144"/>
    <mergeCell ref="AD139:AD144"/>
    <mergeCell ref="AF139:AF144"/>
    <mergeCell ref="S139:S144"/>
    <mergeCell ref="T139:T144"/>
    <mergeCell ref="U139:U144"/>
    <mergeCell ref="V139:V144"/>
    <mergeCell ref="W139:W144"/>
    <mergeCell ref="X139:X144"/>
    <mergeCell ref="M139:M144"/>
    <mergeCell ref="N139:N144"/>
    <mergeCell ref="O139:O144"/>
    <mergeCell ref="P139:P144"/>
    <mergeCell ref="Q139:Q144"/>
    <mergeCell ref="R139:R144"/>
    <mergeCell ref="H139:H144"/>
    <mergeCell ref="I139:I144"/>
    <mergeCell ref="J139:J144"/>
    <mergeCell ref="K139:K144"/>
    <mergeCell ref="L139:L144"/>
    <mergeCell ref="T133:T138"/>
    <mergeCell ref="U133:U138"/>
    <mergeCell ref="V133:V138"/>
    <mergeCell ref="W133:W138"/>
    <mergeCell ref="X133:X138"/>
    <mergeCell ref="Y133:Y138"/>
    <mergeCell ref="N133:N138"/>
    <mergeCell ref="O133:O138"/>
    <mergeCell ref="P133:P138"/>
    <mergeCell ref="Q133:Q138"/>
    <mergeCell ref="R133:R138"/>
    <mergeCell ref="S133:S138"/>
    <mergeCell ref="H133:H138"/>
    <mergeCell ref="I133:I138"/>
    <mergeCell ref="J133:J138"/>
    <mergeCell ref="K133:K138"/>
    <mergeCell ref="L133:L138"/>
    <mergeCell ref="M133:M138"/>
    <mergeCell ref="AA127:AA132"/>
    <mergeCell ref="AB127:AB132"/>
    <mergeCell ref="AD127:AD132"/>
    <mergeCell ref="AF127:AF132"/>
    <mergeCell ref="S127:S132"/>
    <mergeCell ref="T127:T132"/>
    <mergeCell ref="U127:U132"/>
    <mergeCell ref="V127:V132"/>
    <mergeCell ref="W127:W132"/>
    <mergeCell ref="X127:X132"/>
    <mergeCell ref="M127:M132"/>
    <mergeCell ref="N127:N132"/>
    <mergeCell ref="O127:O132"/>
    <mergeCell ref="P127:P132"/>
    <mergeCell ref="Q127:Q132"/>
    <mergeCell ref="R127:R132"/>
    <mergeCell ref="Z133:Z138"/>
    <mergeCell ref="AA133:AA138"/>
    <mergeCell ref="AB133:AB138"/>
    <mergeCell ref="AD133:AD138"/>
    <mergeCell ref="AF133:AF138"/>
    <mergeCell ref="AC133:AC138"/>
    <mergeCell ref="Z121:Z126"/>
    <mergeCell ref="AA121:AA126"/>
    <mergeCell ref="AB121:AB126"/>
    <mergeCell ref="AD121:AD126"/>
    <mergeCell ref="AF121:AF126"/>
    <mergeCell ref="AC121:AC126"/>
    <mergeCell ref="H127:H132"/>
    <mergeCell ref="I127:I132"/>
    <mergeCell ref="J127:J132"/>
    <mergeCell ref="K127:K132"/>
    <mergeCell ref="L127:L132"/>
    <mergeCell ref="T121:T126"/>
    <mergeCell ref="U121:U126"/>
    <mergeCell ref="V121:V126"/>
    <mergeCell ref="W121:W126"/>
    <mergeCell ref="X121:X126"/>
    <mergeCell ref="Y121:Y126"/>
    <mergeCell ref="N121:N126"/>
    <mergeCell ref="O121:O126"/>
    <mergeCell ref="P121:P126"/>
    <mergeCell ref="Q121:Q126"/>
    <mergeCell ref="R121:R126"/>
    <mergeCell ref="S121:S126"/>
    <mergeCell ref="H121:H126"/>
    <mergeCell ref="I121:I126"/>
    <mergeCell ref="J121:J126"/>
    <mergeCell ref="K121:K126"/>
    <mergeCell ref="L121:L126"/>
    <mergeCell ref="M121:M126"/>
    <mergeCell ref="AC127:AC132"/>
    <mergeCell ref="Y127:Y132"/>
    <mergeCell ref="Z127:Z132"/>
    <mergeCell ref="AC115:AC120"/>
    <mergeCell ref="Y115:Y120"/>
    <mergeCell ref="Z115:Z120"/>
    <mergeCell ref="AA115:AA120"/>
    <mergeCell ref="AB115:AB120"/>
    <mergeCell ref="AD115:AD120"/>
    <mergeCell ref="AF115:AF120"/>
    <mergeCell ref="S115:S120"/>
    <mergeCell ref="T115:T120"/>
    <mergeCell ref="U115:U120"/>
    <mergeCell ref="V115:V120"/>
    <mergeCell ref="W115:W120"/>
    <mergeCell ref="X115:X120"/>
    <mergeCell ref="M115:M120"/>
    <mergeCell ref="N115:N120"/>
    <mergeCell ref="O115:O120"/>
    <mergeCell ref="P115:P120"/>
    <mergeCell ref="Q115:Q120"/>
    <mergeCell ref="R115:R120"/>
    <mergeCell ref="H115:H120"/>
    <mergeCell ref="I115:I120"/>
    <mergeCell ref="J115:J120"/>
    <mergeCell ref="K115:K120"/>
    <mergeCell ref="L115:L120"/>
    <mergeCell ref="T109:T114"/>
    <mergeCell ref="U109:U114"/>
    <mergeCell ref="V109:V114"/>
    <mergeCell ref="W109:W114"/>
    <mergeCell ref="X109:X114"/>
    <mergeCell ref="Y109:Y114"/>
    <mergeCell ref="N109:N114"/>
    <mergeCell ref="O109:O114"/>
    <mergeCell ref="P109:P114"/>
    <mergeCell ref="Q109:Q114"/>
    <mergeCell ref="R109:R114"/>
    <mergeCell ref="S109:S114"/>
    <mergeCell ref="H109:H114"/>
    <mergeCell ref="I109:I114"/>
    <mergeCell ref="J109:J114"/>
    <mergeCell ref="K109:K114"/>
    <mergeCell ref="L109:L114"/>
    <mergeCell ref="M109:M114"/>
    <mergeCell ref="AA103:AA108"/>
    <mergeCell ref="AB103:AB108"/>
    <mergeCell ref="AD103:AD108"/>
    <mergeCell ref="AF103:AF108"/>
    <mergeCell ref="S103:S108"/>
    <mergeCell ref="T103:T108"/>
    <mergeCell ref="U103:U108"/>
    <mergeCell ref="V103:V108"/>
    <mergeCell ref="W103:W108"/>
    <mergeCell ref="X103:X108"/>
    <mergeCell ref="M103:M108"/>
    <mergeCell ref="N103:N108"/>
    <mergeCell ref="O103:O108"/>
    <mergeCell ref="P103:P108"/>
    <mergeCell ref="Q103:Q108"/>
    <mergeCell ref="R103:R108"/>
    <mergeCell ref="Z109:Z114"/>
    <mergeCell ref="AA109:AA114"/>
    <mergeCell ref="AB109:AB114"/>
    <mergeCell ref="AD109:AD114"/>
    <mergeCell ref="AF109:AF114"/>
    <mergeCell ref="AC109:AC114"/>
    <mergeCell ref="Z97:Z102"/>
    <mergeCell ref="AA97:AA102"/>
    <mergeCell ref="AB97:AB102"/>
    <mergeCell ref="AD97:AD102"/>
    <mergeCell ref="AF97:AF102"/>
    <mergeCell ref="AC97:AC102"/>
    <mergeCell ref="H103:H108"/>
    <mergeCell ref="I103:I108"/>
    <mergeCell ref="J103:J108"/>
    <mergeCell ref="K103:K108"/>
    <mergeCell ref="L103:L108"/>
    <mergeCell ref="T97:T102"/>
    <mergeCell ref="U97:U102"/>
    <mergeCell ref="V97:V102"/>
    <mergeCell ref="W97:W102"/>
    <mergeCell ref="X97:X102"/>
    <mergeCell ref="Y97:Y102"/>
    <mergeCell ref="N97:N102"/>
    <mergeCell ref="O97:O102"/>
    <mergeCell ref="P97:P102"/>
    <mergeCell ref="Q97:Q102"/>
    <mergeCell ref="R97:R102"/>
    <mergeCell ref="S97:S102"/>
    <mergeCell ref="H97:H102"/>
    <mergeCell ref="I97:I102"/>
    <mergeCell ref="J97:J102"/>
    <mergeCell ref="K97:K102"/>
    <mergeCell ref="L97:L102"/>
    <mergeCell ref="M97:M102"/>
    <mergeCell ref="AC103:AC108"/>
    <mergeCell ref="Y103:Y108"/>
    <mergeCell ref="Z103:Z108"/>
    <mergeCell ref="AC91:AC96"/>
    <mergeCell ref="Y91:Y96"/>
    <mergeCell ref="Z91:Z96"/>
    <mergeCell ref="AA91:AA96"/>
    <mergeCell ref="AB91:AB96"/>
    <mergeCell ref="AD91:AD96"/>
    <mergeCell ref="AF91:AF96"/>
    <mergeCell ref="S91:S96"/>
    <mergeCell ref="T91:T96"/>
    <mergeCell ref="U91:U96"/>
    <mergeCell ref="V91:V96"/>
    <mergeCell ref="W91:W96"/>
    <mergeCell ref="X91:X96"/>
    <mergeCell ref="M91:M96"/>
    <mergeCell ref="N91:N96"/>
    <mergeCell ref="O91:O96"/>
    <mergeCell ref="P91:P96"/>
    <mergeCell ref="Q91:Q96"/>
    <mergeCell ref="R91:R96"/>
    <mergeCell ref="H91:H96"/>
    <mergeCell ref="I91:I96"/>
    <mergeCell ref="J91:J96"/>
    <mergeCell ref="K91:K96"/>
    <mergeCell ref="L91:L96"/>
    <mergeCell ref="T85:T90"/>
    <mergeCell ref="U85:U90"/>
    <mergeCell ref="V85:V90"/>
    <mergeCell ref="W85:W90"/>
    <mergeCell ref="X85:X90"/>
    <mergeCell ref="Y85:Y90"/>
    <mergeCell ref="N85:N90"/>
    <mergeCell ref="O85:O90"/>
    <mergeCell ref="P85:P90"/>
    <mergeCell ref="Q85:Q90"/>
    <mergeCell ref="R85:R90"/>
    <mergeCell ref="S85:S90"/>
    <mergeCell ref="H85:H90"/>
    <mergeCell ref="I85:I90"/>
    <mergeCell ref="J85:J90"/>
    <mergeCell ref="K85:K90"/>
    <mergeCell ref="L85:L90"/>
    <mergeCell ref="M85:M90"/>
    <mergeCell ref="AA79:AA84"/>
    <mergeCell ref="AB79:AB84"/>
    <mergeCell ref="AD79:AD84"/>
    <mergeCell ref="AF79:AF84"/>
    <mergeCell ref="S79:S84"/>
    <mergeCell ref="T79:T84"/>
    <mergeCell ref="U79:U84"/>
    <mergeCell ref="V79:V84"/>
    <mergeCell ref="W79:W84"/>
    <mergeCell ref="X79:X84"/>
    <mergeCell ref="M79:M84"/>
    <mergeCell ref="N79:N84"/>
    <mergeCell ref="O79:O84"/>
    <mergeCell ref="P79:P84"/>
    <mergeCell ref="Q79:Q84"/>
    <mergeCell ref="R79:R84"/>
    <mergeCell ref="Z85:Z90"/>
    <mergeCell ref="AA85:AA90"/>
    <mergeCell ref="AB85:AB90"/>
    <mergeCell ref="AD85:AD90"/>
    <mergeCell ref="AF85:AF90"/>
    <mergeCell ref="AC85:AC90"/>
    <mergeCell ref="Z73:Z78"/>
    <mergeCell ref="AA73:AA78"/>
    <mergeCell ref="AB73:AB78"/>
    <mergeCell ref="AD73:AD78"/>
    <mergeCell ref="AF73:AF78"/>
    <mergeCell ref="H79:H84"/>
    <mergeCell ref="I79:I84"/>
    <mergeCell ref="J79:J84"/>
    <mergeCell ref="K79:K84"/>
    <mergeCell ref="L79:L84"/>
    <mergeCell ref="T73:T78"/>
    <mergeCell ref="U73:U78"/>
    <mergeCell ref="V73:V78"/>
    <mergeCell ref="W73:W78"/>
    <mergeCell ref="X73:X78"/>
    <mergeCell ref="Y73:Y78"/>
    <mergeCell ref="N73:N78"/>
    <mergeCell ref="O73:O78"/>
    <mergeCell ref="P73:P78"/>
    <mergeCell ref="Q73:Q78"/>
    <mergeCell ref="R73:R78"/>
    <mergeCell ref="S73:S78"/>
    <mergeCell ref="H73:H78"/>
    <mergeCell ref="I73:I78"/>
    <mergeCell ref="J73:J78"/>
    <mergeCell ref="K73:K78"/>
    <mergeCell ref="L73:L78"/>
    <mergeCell ref="M73:M78"/>
    <mergeCell ref="AC73:AC78"/>
    <mergeCell ref="AC79:AC84"/>
    <mergeCell ref="Y79:Y84"/>
    <mergeCell ref="Z79:Z84"/>
    <mergeCell ref="H55:H60"/>
    <mergeCell ref="I55:I60"/>
    <mergeCell ref="J55:J60"/>
    <mergeCell ref="K55:K60"/>
    <mergeCell ref="Q61:Q66"/>
    <mergeCell ref="R61:R66"/>
    <mergeCell ref="S61:S66"/>
    <mergeCell ref="T61:T66"/>
    <mergeCell ref="AA61:AA66"/>
    <mergeCell ref="AB61:AB66"/>
    <mergeCell ref="U61:U66"/>
    <mergeCell ref="V61:V66"/>
    <mergeCell ref="AC61:AC66"/>
    <mergeCell ref="I43:I48"/>
    <mergeCell ref="AD61:AD66"/>
    <mergeCell ref="AF61:AF66"/>
    <mergeCell ref="W61:W66"/>
    <mergeCell ref="X61:X66"/>
    <mergeCell ref="Y61:Y66"/>
    <mergeCell ref="Z61:Z66"/>
    <mergeCell ref="X31:X36"/>
    <mergeCell ref="H31:H36"/>
    <mergeCell ref="I31:I36"/>
    <mergeCell ref="J31:J36"/>
    <mergeCell ref="K31:K36"/>
    <mergeCell ref="L31:L36"/>
    <mergeCell ref="M31:M36"/>
    <mergeCell ref="Y19:Y24"/>
    <mergeCell ref="Z19:Z24"/>
    <mergeCell ref="AA19:AA24"/>
    <mergeCell ref="AB19:AB24"/>
    <mergeCell ref="H37:H42"/>
    <mergeCell ref="I37:I42"/>
    <mergeCell ref="J37:J42"/>
    <mergeCell ref="K37:K42"/>
    <mergeCell ref="AA31:AA36"/>
    <mergeCell ref="AB31:AB36"/>
    <mergeCell ref="J25:J30"/>
    <mergeCell ref="K25:K30"/>
    <mergeCell ref="L25:L30"/>
    <mergeCell ref="M25:M30"/>
    <mergeCell ref="U19:U24"/>
    <mergeCell ref="V19:V24"/>
    <mergeCell ref="W19:W24"/>
    <mergeCell ref="X19:X24"/>
    <mergeCell ref="T19:T24"/>
    <mergeCell ref="S37:S42"/>
    <mergeCell ref="T37:T42"/>
    <mergeCell ref="U37:U42"/>
    <mergeCell ref="V37:V42"/>
    <mergeCell ref="W37:W42"/>
    <mergeCell ref="Q19:Q24"/>
    <mergeCell ref="R19:R24"/>
    <mergeCell ref="S19:S24"/>
    <mergeCell ref="G343:G348"/>
    <mergeCell ref="G349:G354"/>
    <mergeCell ref="G355:G360"/>
    <mergeCell ref="G361:G366"/>
    <mergeCell ref="H13:H18"/>
    <mergeCell ref="I13:I18"/>
    <mergeCell ref="H19:H24"/>
    <mergeCell ref="I19:I24"/>
    <mergeCell ref="H25:H30"/>
    <mergeCell ref="I25:I30"/>
    <mergeCell ref="G307:G312"/>
    <mergeCell ref="G313:G318"/>
    <mergeCell ref="G319:G324"/>
    <mergeCell ref="G325:G330"/>
    <mergeCell ref="G331:G336"/>
    <mergeCell ref="G337:G342"/>
    <mergeCell ref="G271:G276"/>
    <mergeCell ref="G277:G282"/>
    <mergeCell ref="G283:G288"/>
    <mergeCell ref="G289:G294"/>
    <mergeCell ref="G295:G300"/>
    <mergeCell ref="G301:G306"/>
    <mergeCell ref="G235:G240"/>
    <mergeCell ref="G241:G246"/>
    <mergeCell ref="S31:S36"/>
    <mergeCell ref="H49:H54"/>
    <mergeCell ref="I49:I54"/>
    <mergeCell ref="J49:J54"/>
    <mergeCell ref="K49:K54"/>
    <mergeCell ref="G247:G252"/>
    <mergeCell ref="G253:G258"/>
    <mergeCell ref="G259:G264"/>
    <mergeCell ref="G265:G270"/>
    <mergeCell ref="G199:G204"/>
    <mergeCell ref="G205:G210"/>
    <mergeCell ref="G211:G216"/>
    <mergeCell ref="G217:G222"/>
    <mergeCell ref="G223:G228"/>
    <mergeCell ref="G229:G234"/>
    <mergeCell ref="G163:G168"/>
    <mergeCell ref="G169:G174"/>
    <mergeCell ref="G175:G180"/>
    <mergeCell ref="G181:G186"/>
    <mergeCell ref="G187:G192"/>
    <mergeCell ref="G193:G198"/>
    <mergeCell ref="G127:G132"/>
    <mergeCell ref="G133:G138"/>
    <mergeCell ref="G139:G144"/>
    <mergeCell ref="G145:G150"/>
    <mergeCell ref="G151:G156"/>
    <mergeCell ref="G157:G162"/>
    <mergeCell ref="G91:G96"/>
    <mergeCell ref="G97:G102"/>
    <mergeCell ref="G103:G108"/>
    <mergeCell ref="G109:G114"/>
    <mergeCell ref="G115:G120"/>
    <mergeCell ref="G121:G126"/>
    <mergeCell ref="G55:G60"/>
    <mergeCell ref="G61:G66"/>
    <mergeCell ref="G73:G78"/>
    <mergeCell ref="G79:G84"/>
    <mergeCell ref="G85:G90"/>
    <mergeCell ref="D349:D354"/>
    <mergeCell ref="D355:D360"/>
    <mergeCell ref="D361:D366"/>
    <mergeCell ref="G13:G18"/>
    <mergeCell ref="G19:G24"/>
    <mergeCell ref="G25:G30"/>
    <mergeCell ref="G31:G36"/>
    <mergeCell ref="G37:G42"/>
    <mergeCell ref="G43:G48"/>
    <mergeCell ref="G49:G54"/>
    <mergeCell ref="D313:D318"/>
    <mergeCell ref="D319:D324"/>
    <mergeCell ref="D325:D330"/>
    <mergeCell ref="D331:D336"/>
    <mergeCell ref="D337:D342"/>
    <mergeCell ref="D343:D348"/>
    <mergeCell ref="D277:D282"/>
    <mergeCell ref="D283:D288"/>
    <mergeCell ref="D289:D294"/>
    <mergeCell ref="D295:D300"/>
    <mergeCell ref="D301:D306"/>
    <mergeCell ref="D307:D312"/>
    <mergeCell ref="D241:D246"/>
    <mergeCell ref="D247:D252"/>
    <mergeCell ref="D253:D258"/>
    <mergeCell ref="D259:D264"/>
    <mergeCell ref="D265:D270"/>
    <mergeCell ref="D271:D276"/>
    <mergeCell ref="D205:D210"/>
    <mergeCell ref="D211:D216"/>
    <mergeCell ref="D217:D222"/>
    <mergeCell ref="D223:D228"/>
    <mergeCell ref="D229:D234"/>
    <mergeCell ref="D235:D240"/>
    <mergeCell ref="D169:D174"/>
    <mergeCell ref="D175:D180"/>
    <mergeCell ref="D181:D186"/>
    <mergeCell ref="D187:D192"/>
    <mergeCell ref="D193:D198"/>
    <mergeCell ref="D199:D204"/>
    <mergeCell ref="D133:D138"/>
    <mergeCell ref="D139:D144"/>
    <mergeCell ref="D145:D150"/>
    <mergeCell ref="D151:D156"/>
    <mergeCell ref="D157:D162"/>
    <mergeCell ref="D163:D168"/>
    <mergeCell ref="D97:D102"/>
    <mergeCell ref="D103:D108"/>
    <mergeCell ref="D109:D114"/>
    <mergeCell ref="D115:D120"/>
    <mergeCell ref="D121:D126"/>
    <mergeCell ref="D127:D132"/>
    <mergeCell ref="D61:D66"/>
    <mergeCell ref="D73:D78"/>
    <mergeCell ref="D79:D84"/>
    <mergeCell ref="D85:D90"/>
    <mergeCell ref="D91:D96"/>
    <mergeCell ref="D67:D72"/>
    <mergeCell ref="E364:E366"/>
    <mergeCell ref="F364:F366"/>
    <mergeCell ref="D13:D18"/>
    <mergeCell ref="D19:D24"/>
    <mergeCell ref="D25:D30"/>
    <mergeCell ref="D31:D36"/>
    <mergeCell ref="D37:D42"/>
    <mergeCell ref="D43:D48"/>
    <mergeCell ref="D49:D54"/>
    <mergeCell ref="D55:D60"/>
    <mergeCell ref="E346:E348"/>
    <mergeCell ref="F346:F348"/>
    <mergeCell ref="E352:E354"/>
    <mergeCell ref="F352:F354"/>
    <mergeCell ref="E358:E360"/>
    <mergeCell ref="F358:F360"/>
    <mergeCell ref="E328:E330"/>
    <mergeCell ref="F328:F330"/>
    <mergeCell ref="E334:E336"/>
    <mergeCell ref="F334:F336"/>
    <mergeCell ref="E340:E342"/>
    <mergeCell ref="F340:F342"/>
    <mergeCell ref="E310:E312"/>
    <mergeCell ref="F310:F312"/>
    <mergeCell ref="E316:E318"/>
    <mergeCell ref="F316:F318"/>
    <mergeCell ref="E322:E324"/>
    <mergeCell ref="F322:F324"/>
    <mergeCell ref="E292:E294"/>
    <mergeCell ref="F292:F294"/>
    <mergeCell ref="E298:E300"/>
    <mergeCell ref="F298:F300"/>
    <mergeCell ref="E304:E306"/>
    <mergeCell ref="F304:F306"/>
    <mergeCell ref="E274:E276"/>
    <mergeCell ref="F274:F276"/>
    <mergeCell ref="E280:E282"/>
    <mergeCell ref="F280:F282"/>
    <mergeCell ref="E286:E288"/>
    <mergeCell ref="F286:F288"/>
    <mergeCell ref="E256:E258"/>
    <mergeCell ref="F256:F258"/>
    <mergeCell ref="E262:E264"/>
    <mergeCell ref="F262:F264"/>
    <mergeCell ref="E268:E270"/>
    <mergeCell ref="F268:F270"/>
    <mergeCell ref="E238:E240"/>
    <mergeCell ref="F238:F240"/>
    <mergeCell ref="E244:E246"/>
    <mergeCell ref="F244:F246"/>
    <mergeCell ref="E250:E252"/>
    <mergeCell ref="F250:F252"/>
    <mergeCell ref="E220:E222"/>
    <mergeCell ref="F220:F222"/>
    <mergeCell ref="E226:E228"/>
    <mergeCell ref="F226:F228"/>
    <mergeCell ref="E232:E234"/>
    <mergeCell ref="F232:F234"/>
    <mergeCell ref="E202:E204"/>
    <mergeCell ref="F202:F204"/>
    <mergeCell ref="E208:E210"/>
    <mergeCell ref="F208:F210"/>
    <mergeCell ref="E214:E216"/>
    <mergeCell ref="F214:F216"/>
    <mergeCell ref="E184:E186"/>
    <mergeCell ref="F184:F186"/>
    <mergeCell ref="E190:E192"/>
    <mergeCell ref="F190:F192"/>
    <mergeCell ref="E196:E198"/>
    <mergeCell ref="F196:F198"/>
    <mergeCell ref="E166:E168"/>
    <mergeCell ref="F166:F168"/>
    <mergeCell ref="E172:E174"/>
    <mergeCell ref="F172:F174"/>
    <mergeCell ref="E178:E180"/>
    <mergeCell ref="F178:F180"/>
    <mergeCell ref="E148:E150"/>
    <mergeCell ref="F148:F150"/>
    <mergeCell ref="E154:E156"/>
    <mergeCell ref="F154:F156"/>
    <mergeCell ref="E160:E162"/>
    <mergeCell ref="F160:F162"/>
    <mergeCell ref="E130:E132"/>
    <mergeCell ref="F130:F132"/>
    <mergeCell ref="E136:E138"/>
    <mergeCell ref="F136:F138"/>
    <mergeCell ref="E142:E144"/>
    <mergeCell ref="F142:F144"/>
    <mergeCell ref="E112:E114"/>
    <mergeCell ref="F112:F114"/>
    <mergeCell ref="E118:E120"/>
    <mergeCell ref="F118:F120"/>
    <mergeCell ref="E124:E126"/>
    <mergeCell ref="F124:F126"/>
    <mergeCell ref="E94:E96"/>
    <mergeCell ref="F94:F96"/>
    <mergeCell ref="E100:E102"/>
    <mergeCell ref="F100:F102"/>
    <mergeCell ref="E106:E108"/>
    <mergeCell ref="F106:F108"/>
    <mergeCell ref="E76:E78"/>
    <mergeCell ref="F76:F78"/>
    <mergeCell ref="E82:E84"/>
    <mergeCell ref="F82:F84"/>
    <mergeCell ref="E88:E90"/>
    <mergeCell ref="F88:F90"/>
    <mergeCell ref="E52:E54"/>
    <mergeCell ref="F52:F54"/>
    <mergeCell ref="E58:E60"/>
    <mergeCell ref="F58:F60"/>
    <mergeCell ref="E64:E66"/>
    <mergeCell ref="F64:F66"/>
    <mergeCell ref="E34:E36"/>
    <mergeCell ref="F34:F36"/>
    <mergeCell ref="E40:E42"/>
    <mergeCell ref="F40:F42"/>
    <mergeCell ref="E46:E48"/>
    <mergeCell ref="F46:F48"/>
    <mergeCell ref="E16:E18"/>
    <mergeCell ref="F16:F18"/>
    <mergeCell ref="E22:E24"/>
    <mergeCell ref="F22:F24"/>
    <mergeCell ref="E28:E30"/>
    <mergeCell ref="F28:F30"/>
    <mergeCell ref="C343:C348"/>
    <mergeCell ref="C349:C354"/>
    <mergeCell ref="C355:C360"/>
    <mergeCell ref="C361:C366"/>
    <mergeCell ref="C307:C312"/>
    <mergeCell ref="C313:C318"/>
    <mergeCell ref="C319:C324"/>
    <mergeCell ref="C325:C330"/>
    <mergeCell ref="C331:C336"/>
    <mergeCell ref="C337:C342"/>
    <mergeCell ref="C271:C276"/>
    <mergeCell ref="C277:C282"/>
    <mergeCell ref="C283:C288"/>
    <mergeCell ref="C289:C294"/>
    <mergeCell ref="C295:C300"/>
    <mergeCell ref="C301:C306"/>
    <mergeCell ref="C235:C240"/>
    <mergeCell ref="C241:C246"/>
    <mergeCell ref="C247:C252"/>
    <mergeCell ref="C253:C258"/>
    <mergeCell ref="C259:C264"/>
    <mergeCell ref="C265:C270"/>
    <mergeCell ref="C199:C204"/>
    <mergeCell ref="C205:C210"/>
    <mergeCell ref="C211:C216"/>
    <mergeCell ref="C217:C222"/>
    <mergeCell ref="C223:C228"/>
    <mergeCell ref="C229:C234"/>
    <mergeCell ref="C163:C168"/>
    <mergeCell ref="C169:C174"/>
    <mergeCell ref="C175:C180"/>
    <mergeCell ref="C181:C186"/>
    <mergeCell ref="C187:C192"/>
    <mergeCell ref="C193:C198"/>
    <mergeCell ref="C127:C132"/>
    <mergeCell ref="C133:C138"/>
    <mergeCell ref="C139:C144"/>
    <mergeCell ref="C145:C150"/>
    <mergeCell ref="C151:C156"/>
    <mergeCell ref="C157:C162"/>
    <mergeCell ref="C91:C96"/>
    <mergeCell ref="C97:C102"/>
    <mergeCell ref="C103:C108"/>
    <mergeCell ref="C109:C114"/>
    <mergeCell ref="C115:C120"/>
    <mergeCell ref="C121:C126"/>
    <mergeCell ref="C55:C60"/>
    <mergeCell ref="C61:C66"/>
    <mergeCell ref="C67:C72"/>
    <mergeCell ref="C73:C78"/>
    <mergeCell ref="C79:C84"/>
    <mergeCell ref="C85:C90"/>
    <mergeCell ref="B343:B348"/>
    <mergeCell ref="B349:B354"/>
    <mergeCell ref="B355:B360"/>
    <mergeCell ref="B361:B366"/>
    <mergeCell ref="C19:C24"/>
    <mergeCell ref="C25:C30"/>
    <mergeCell ref="C31:C36"/>
    <mergeCell ref="C37:C42"/>
    <mergeCell ref="C43:C48"/>
    <mergeCell ref="C49:C54"/>
    <mergeCell ref="B307:B312"/>
    <mergeCell ref="B313:B318"/>
    <mergeCell ref="B319:B324"/>
    <mergeCell ref="B325:B330"/>
    <mergeCell ref="B331:B336"/>
    <mergeCell ref="B337:B342"/>
    <mergeCell ref="B271:B276"/>
    <mergeCell ref="B277:B282"/>
    <mergeCell ref="B283:B288"/>
    <mergeCell ref="B289:B294"/>
    <mergeCell ref="B295:B300"/>
    <mergeCell ref="B301:B306"/>
    <mergeCell ref="B235:B240"/>
    <mergeCell ref="B241:B246"/>
    <mergeCell ref="B247:B252"/>
    <mergeCell ref="B253:B258"/>
    <mergeCell ref="B259:B264"/>
    <mergeCell ref="B265:B270"/>
    <mergeCell ref="B199:B204"/>
    <mergeCell ref="B205:B210"/>
    <mergeCell ref="B211:B216"/>
    <mergeCell ref="B217:B222"/>
    <mergeCell ref="B223:B228"/>
    <mergeCell ref="B229:B234"/>
    <mergeCell ref="B163:B168"/>
    <mergeCell ref="B169:B174"/>
    <mergeCell ref="B175:B180"/>
    <mergeCell ref="B181:B186"/>
    <mergeCell ref="B187:B192"/>
    <mergeCell ref="B193:B198"/>
    <mergeCell ref="B127:B132"/>
    <mergeCell ref="B133:B138"/>
    <mergeCell ref="B139:B144"/>
    <mergeCell ref="B145:B150"/>
    <mergeCell ref="B151:B156"/>
    <mergeCell ref="B157:B162"/>
    <mergeCell ref="B91:B96"/>
    <mergeCell ref="B97:B102"/>
    <mergeCell ref="B103:B108"/>
    <mergeCell ref="B109:B114"/>
    <mergeCell ref="B115:B120"/>
    <mergeCell ref="B121:B126"/>
    <mergeCell ref="B55:B60"/>
    <mergeCell ref="B61:B66"/>
    <mergeCell ref="B67:B72"/>
    <mergeCell ref="B73:B78"/>
    <mergeCell ref="B79:B84"/>
    <mergeCell ref="B85:B90"/>
    <mergeCell ref="A343:A348"/>
    <mergeCell ref="A349:A354"/>
    <mergeCell ref="A355:A360"/>
    <mergeCell ref="A361:A366"/>
    <mergeCell ref="B19:B24"/>
    <mergeCell ref="B25:B30"/>
    <mergeCell ref="B31:B36"/>
    <mergeCell ref="B37:B42"/>
    <mergeCell ref="B43:B48"/>
    <mergeCell ref="B49:B54"/>
    <mergeCell ref="A307:A312"/>
    <mergeCell ref="A313:A318"/>
    <mergeCell ref="A319:A324"/>
    <mergeCell ref="A325:A330"/>
    <mergeCell ref="A331:A336"/>
    <mergeCell ref="A337:A342"/>
    <mergeCell ref="A271:A276"/>
    <mergeCell ref="A277:A282"/>
    <mergeCell ref="A283:A288"/>
    <mergeCell ref="A289:A294"/>
    <mergeCell ref="A295:A300"/>
    <mergeCell ref="A301:A306"/>
    <mergeCell ref="A235:A240"/>
    <mergeCell ref="A241:A246"/>
    <mergeCell ref="A247:A252"/>
    <mergeCell ref="A253:A258"/>
    <mergeCell ref="A259:A264"/>
    <mergeCell ref="A265:A270"/>
    <mergeCell ref="A199:A204"/>
    <mergeCell ref="A205:A210"/>
    <mergeCell ref="A211:A216"/>
    <mergeCell ref="A217:A222"/>
    <mergeCell ref="A223:A228"/>
    <mergeCell ref="A229:A234"/>
    <mergeCell ref="A163:A168"/>
    <mergeCell ref="A169:A174"/>
    <mergeCell ref="A175:A180"/>
    <mergeCell ref="A181:A186"/>
    <mergeCell ref="A187:A192"/>
    <mergeCell ref="A193:A198"/>
    <mergeCell ref="A127:A132"/>
    <mergeCell ref="A133:A138"/>
    <mergeCell ref="A139:A144"/>
    <mergeCell ref="A145:A150"/>
    <mergeCell ref="A151:A156"/>
    <mergeCell ref="A157:A162"/>
    <mergeCell ref="A91:A96"/>
    <mergeCell ref="A97:A102"/>
    <mergeCell ref="A103:A108"/>
    <mergeCell ref="A109:A114"/>
    <mergeCell ref="A115:A120"/>
    <mergeCell ref="A121:A126"/>
    <mergeCell ref="A55:A60"/>
    <mergeCell ref="A61:A66"/>
    <mergeCell ref="A67:A72"/>
    <mergeCell ref="A73:A78"/>
    <mergeCell ref="A79:A84"/>
    <mergeCell ref="A85:A90"/>
    <mergeCell ref="A13:A18"/>
    <mergeCell ref="A19:A24"/>
    <mergeCell ref="B13:B18"/>
    <mergeCell ref="C13:C18"/>
    <mergeCell ref="A25:A30"/>
    <mergeCell ref="A31:A36"/>
    <mergeCell ref="A37:A42"/>
    <mergeCell ref="A43:A48"/>
    <mergeCell ref="A49:A54"/>
    <mergeCell ref="BD67:BD72"/>
    <mergeCell ref="BE67:BE72"/>
    <mergeCell ref="AA67:AA72"/>
    <mergeCell ref="AB67:AB72"/>
    <mergeCell ref="AD67:AD72"/>
    <mergeCell ref="AF67:AF72"/>
    <mergeCell ref="E70:E72"/>
    <mergeCell ref="O49:O54"/>
    <mergeCell ref="P49:P54"/>
    <mergeCell ref="Q49:Q54"/>
    <mergeCell ref="R49:R54"/>
    <mergeCell ref="N49:N54"/>
    <mergeCell ref="L55:L60"/>
    <mergeCell ref="M55:M60"/>
    <mergeCell ref="Y49:Y54"/>
    <mergeCell ref="F70:F72"/>
    <mergeCell ref="BD61:BD66"/>
    <mergeCell ref="AC67:AC72"/>
    <mergeCell ref="G67:G72"/>
    <mergeCell ref="Z67:Z72"/>
    <mergeCell ref="T67:T72"/>
    <mergeCell ref="J43:J48"/>
    <mergeCell ref="K43:K48"/>
    <mergeCell ref="L43:L48"/>
    <mergeCell ref="AC49:AC54"/>
    <mergeCell ref="L49:L54"/>
    <mergeCell ref="M49:M54"/>
    <mergeCell ref="N43:N48"/>
    <mergeCell ref="O43:O48"/>
    <mergeCell ref="P43:P48"/>
    <mergeCell ref="Q43:Q48"/>
    <mergeCell ref="R43:R48"/>
    <mergeCell ref="S43:S48"/>
    <mergeCell ref="H43:H48"/>
    <mergeCell ref="H61:H66"/>
    <mergeCell ref="I61:I66"/>
    <mergeCell ref="J61:J66"/>
    <mergeCell ref="K61:K66"/>
    <mergeCell ref="L61:L66"/>
    <mergeCell ref="M61:M66"/>
    <mergeCell ref="N61:N66"/>
    <mergeCell ref="O61:O66"/>
    <mergeCell ref="P61:P66"/>
    <mergeCell ref="R55:R60"/>
    <mergeCell ref="S55:S60"/>
    <mergeCell ref="T55:T60"/>
    <mergeCell ref="U55:U60"/>
    <mergeCell ref="V55:V60"/>
    <mergeCell ref="W55:W60"/>
    <mergeCell ref="BD55:BD60"/>
    <mergeCell ref="Z55:Z60"/>
    <mergeCell ref="AA55:AA60"/>
    <mergeCell ref="AB55:AB60"/>
    <mergeCell ref="AD55:AD60"/>
    <mergeCell ref="X55:X60"/>
    <mergeCell ref="Y55:Y60"/>
    <mergeCell ref="N55:N60"/>
    <mergeCell ref="O55:O60"/>
    <mergeCell ref="P55:P60"/>
    <mergeCell ref="Q55:Q60"/>
    <mergeCell ref="BD49:BD54"/>
    <mergeCell ref="AA49:AA54"/>
    <mergeCell ref="AB49:AB54"/>
    <mergeCell ref="AD49:AD54"/>
    <mergeCell ref="AF49:AF54"/>
    <mergeCell ref="U49:U54"/>
    <mergeCell ref="V49:V54"/>
    <mergeCell ref="W49:W54"/>
    <mergeCell ref="X49:X54"/>
    <mergeCell ref="AF55:AF60"/>
    <mergeCell ref="AC55:AC60"/>
    <mergeCell ref="Z49:Z54"/>
    <mergeCell ref="S49:S54"/>
    <mergeCell ref="T49:T54"/>
    <mergeCell ref="BD37:BD42"/>
    <mergeCell ref="AA37:AA42"/>
    <mergeCell ref="AB37:AB42"/>
    <mergeCell ref="AD37:AD42"/>
    <mergeCell ref="AF37:AF42"/>
    <mergeCell ref="Y37:Y42"/>
    <mergeCell ref="Z37:Z42"/>
    <mergeCell ref="Y43:Y48"/>
    <mergeCell ref="Z43:Z48"/>
    <mergeCell ref="O37:O42"/>
    <mergeCell ref="P37:P42"/>
    <mergeCell ref="Q37:Q42"/>
    <mergeCell ref="R37:R42"/>
    <mergeCell ref="L37:L42"/>
    <mergeCell ref="M37:M42"/>
    <mergeCell ref="N37:N42"/>
    <mergeCell ref="M43:M48"/>
    <mergeCell ref="AC37:AC42"/>
    <mergeCell ref="AC43:AC48"/>
    <mergeCell ref="X37:X42"/>
    <mergeCell ref="BD43:BD48"/>
    <mergeCell ref="AA43:AA48"/>
    <mergeCell ref="AB43:AB48"/>
    <mergeCell ref="AD43:AD48"/>
    <mergeCell ref="AF43:AF48"/>
    <mergeCell ref="U43:U48"/>
    <mergeCell ref="V43:V48"/>
    <mergeCell ref="W43:W48"/>
    <mergeCell ref="X43:X48"/>
    <mergeCell ref="T43:T48"/>
    <mergeCell ref="AD31:AD36"/>
    <mergeCell ref="AF31:AF36"/>
    <mergeCell ref="Y31:Y36"/>
    <mergeCell ref="Z31:Z36"/>
    <mergeCell ref="O31:O36"/>
    <mergeCell ref="P31:P36"/>
    <mergeCell ref="Q31:Q36"/>
    <mergeCell ref="R31:R36"/>
    <mergeCell ref="N31:N36"/>
    <mergeCell ref="Z25:Z30"/>
    <mergeCell ref="AA25:AA30"/>
    <mergeCell ref="AB25:AB30"/>
    <mergeCell ref="AD25:AD30"/>
    <mergeCell ref="T25:T30"/>
    <mergeCell ref="U25:U30"/>
    <mergeCell ref="V25:V30"/>
    <mergeCell ref="W25:W30"/>
    <mergeCell ref="N25:N30"/>
    <mergeCell ref="O25:O30"/>
    <mergeCell ref="P25:P30"/>
    <mergeCell ref="Q25:Q30"/>
    <mergeCell ref="AF25:AF30"/>
    <mergeCell ref="X25:X30"/>
    <mergeCell ref="Y25:Y30"/>
    <mergeCell ref="R25:R30"/>
    <mergeCell ref="S25:S30"/>
    <mergeCell ref="AC25:AC30"/>
    <mergeCell ref="AC31:AC36"/>
    <mergeCell ref="T31:T36"/>
    <mergeCell ref="U31:U36"/>
    <mergeCell ref="V31:V36"/>
    <mergeCell ref="W31:W36"/>
    <mergeCell ref="J19:J24"/>
    <mergeCell ref="K19:K24"/>
    <mergeCell ref="L19:L24"/>
    <mergeCell ref="M19:M24"/>
    <mergeCell ref="AD13:AD18"/>
    <mergeCell ref="AF13:AF18"/>
    <mergeCell ref="W13:W18"/>
    <mergeCell ref="X13:X18"/>
    <mergeCell ref="Y13:Y18"/>
    <mergeCell ref="Z13:Z18"/>
    <mergeCell ref="Q13:Q18"/>
    <mergeCell ref="R13:R18"/>
    <mergeCell ref="S13:S18"/>
    <mergeCell ref="T13:T18"/>
    <mergeCell ref="K13:K18"/>
    <mergeCell ref="L13:L18"/>
    <mergeCell ref="M13:M18"/>
    <mergeCell ref="N13:N18"/>
    <mergeCell ref="AA13:AA18"/>
    <mergeCell ref="AB13:AB18"/>
    <mergeCell ref="U13:U18"/>
    <mergeCell ref="V13:V18"/>
    <mergeCell ref="O13:O18"/>
    <mergeCell ref="P13:P18"/>
    <mergeCell ref="J13:J18"/>
    <mergeCell ref="AC13:AC18"/>
    <mergeCell ref="AC19:AC24"/>
    <mergeCell ref="AD19:AD24"/>
    <mergeCell ref="AF19:AF24"/>
    <mergeCell ref="N19:N24"/>
    <mergeCell ref="O19:O24"/>
    <mergeCell ref="P19:P24"/>
    <mergeCell ref="T7:T12"/>
    <mergeCell ref="U7:U12"/>
    <mergeCell ref="V7:V12"/>
    <mergeCell ref="W7:W12"/>
    <mergeCell ref="X7:X12"/>
    <mergeCell ref="Y7:Y12"/>
    <mergeCell ref="N7:N12"/>
    <mergeCell ref="O7:O12"/>
    <mergeCell ref="P7:P12"/>
    <mergeCell ref="Q7:Q12"/>
    <mergeCell ref="R7:R12"/>
    <mergeCell ref="S7:S12"/>
    <mergeCell ref="H7:H12"/>
    <mergeCell ref="I7:I12"/>
    <mergeCell ref="J7:J12"/>
    <mergeCell ref="K7:K12"/>
    <mergeCell ref="L7:L12"/>
    <mergeCell ref="M7:M12"/>
    <mergeCell ref="A7:A12"/>
    <mergeCell ref="B7:B12"/>
    <mergeCell ref="C7:C12"/>
    <mergeCell ref="D7:D12"/>
    <mergeCell ref="G7:G12"/>
    <mergeCell ref="A4:G5"/>
    <mergeCell ref="H4:AF4"/>
    <mergeCell ref="AG4:BJ4"/>
    <mergeCell ref="BK4:BK5"/>
    <mergeCell ref="H5:AA5"/>
    <mergeCell ref="AB5:AF5"/>
    <mergeCell ref="BH5:BJ5"/>
    <mergeCell ref="A1:D3"/>
    <mergeCell ref="E1:BK2"/>
    <mergeCell ref="E3:F3"/>
    <mergeCell ref="H3:K3"/>
    <mergeCell ref="L3:N3"/>
    <mergeCell ref="O3:R3"/>
    <mergeCell ref="S3:BK3"/>
    <mergeCell ref="BF7:BF12"/>
    <mergeCell ref="AC7:AC12"/>
    <mergeCell ref="E10:E12"/>
    <mergeCell ref="F10:F12"/>
    <mergeCell ref="BD7:BD12"/>
    <mergeCell ref="BE7:BE12"/>
    <mergeCell ref="BH7:BH12"/>
    <mergeCell ref="BI7:BI12"/>
    <mergeCell ref="BJ7:BJ12"/>
    <mergeCell ref="BK7:BK12"/>
    <mergeCell ref="Z7:Z12"/>
    <mergeCell ref="AA7:AA12"/>
    <mergeCell ref="AB7:AB12"/>
    <mergeCell ref="AC349:AC354"/>
    <mergeCell ref="AC355:AC360"/>
    <mergeCell ref="AC361:AC366"/>
    <mergeCell ref="AE7:AE12"/>
    <mergeCell ref="BG7:BG12"/>
    <mergeCell ref="AE13:AE18"/>
    <mergeCell ref="AE19:AE24"/>
    <mergeCell ref="AE25:AE30"/>
    <mergeCell ref="AE31:AE36"/>
    <mergeCell ref="AE37:AE42"/>
    <mergeCell ref="AE43:AE48"/>
    <mergeCell ref="AE49:AE54"/>
    <mergeCell ref="AE55:AE60"/>
    <mergeCell ref="AE61:AE66"/>
    <mergeCell ref="AE67:AE72"/>
    <mergeCell ref="AE73:AE78"/>
    <mergeCell ref="AE79:AE84"/>
    <mergeCell ref="AE85:AE90"/>
    <mergeCell ref="AE91:AE96"/>
    <mergeCell ref="AE97:AE102"/>
    <mergeCell ref="AE103:AE108"/>
    <mergeCell ref="AE109:AE114"/>
    <mergeCell ref="AE115:AE120"/>
    <mergeCell ref="AE121:AE126"/>
    <mergeCell ref="AE127:AE132"/>
    <mergeCell ref="AE133:AE138"/>
    <mergeCell ref="AE139:AE144"/>
    <mergeCell ref="AE145:AE150"/>
    <mergeCell ref="AE151:AE156"/>
    <mergeCell ref="AE157:AE162"/>
    <mergeCell ref="AD7:AD12"/>
    <mergeCell ref="AF7:AF12"/>
    <mergeCell ref="AE349:AE354"/>
    <mergeCell ref="AE355:AE360"/>
    <mergeCell ref="AE361:AE366"/>
    <mergeCell ref="BF13:BF18"/>
    <mergeCell ref="BF19:BF24"/>
    <mergeCell ref="BF25:BF30"/>
    <mergeCell ref="BF31:BF36"/>
    <mergeCell ref="BF37:BF42"/>
    <mergeCell ref="BF43:BF48"/>
    <mergeCell ref="BF49:BF54"/>
    <mergeCell ref="BF55:BF60"/>
    <mergeCell ref="BF61:BF66"/>
    <mergeCell ref="BF67:BF72"/>
    <mergeCell ref="BF73:BF78"/>
    <mergeCell ref="BF79:BF84"/>
    <mergeCell ref="BF85:BF90"/>
    <mergeCell ref="BF91:BF96"/>
    <mergeCell ref="BF97:BF102"/>
    <mergeCell ref="BF103:BF108"/>
    <mergeCell ref="BF109:BF114"/>
    <mergeCell ref="BF115:BF120"/>
    <mergeCell ref="BF121:BF126"/>
    <mergeCell ref="BF127:BF132"/>
    <mergeCell ref="BF133:BF138"/>
    <mergeCell ref="BF139:BF144"/>
    <mergeCell ref="BF145:BF150"/>
    <mergeCell ref="BF151:BF156"/>
    <mergeCell ref="BF157:BF162"/>
    <mergeCell ref="BF163:BF168"/>
    <mergeCell ref="BF169:BF174"/>
    <mergeCell ref="BF175:BF180"/>
    <mergeCell ref="BF181:BF186"/>
    <mergeCell ref="BF187:BF192"/>
    <mergeCell ref="BF193:BF198"/>
    <mergeCell ref="BF199:BF204"/>
    <mergeCell ref="BF205:BF210"/>
    <mergeCell ref="BF211:BF216"/>
    <mergeCell ref="BF217:BF222"/>
    <mergeCell ref="BF223:BF228"/>
    <mergeCell ref="BF229:BF234"/>
    <mergeCell ref="BF235:BF240"/>
    <mergeCell ref="BF241:BF246"/>
    <mergeCell ref="BF247:BF252"/>
    <mergeCell ref="BF253:BF258"/>
    <mergeCell ref="BF259:BF264"/>
    <mergeCell ref="BF265:BF270"/>
    <mergeCell ref="BF271:BF276"/>
    <mergeCell ref="BF277:BF282"/>
    <mergeCell ref="BF283:BF288"/>
    <mergeCell ref="BF289:BF294"/>
    <mergeCell ref="BF295:BF300"/>
    <mergeCell ref="BF301:BF306"/>
    <mergeCell ref="BF307:BF312"/>
    <mergeCell ref="BF313:BF318"/>
    <mergeCell ref="BF319:BF324"/>
    <mergeCell ref="BF325:BF330"/>
    <mergeCell ref="BF331:BF336"/>
    <mergeCell ref="BF337:BF342"/>
    <mergeCell ref="BF343:BF348"/>
    <mergeCell ref="BF349:BF354"/>
    <mergeCell ref="BF355:BF360"/>
    <mergeCell ref="BF361:BF366"/>
    <mergeCell ref="BG13:BG18"/>
    <mergeCell ref="BG19:BG24"/>
    <mergeCell ref="BG25:BG30"/>
    <mergeCell ref="BG31:BG36"/>
    <mergeCell ref="BG37:BG42"/>
    <mergeCell ref="BG43:BG48"/>
    <mergeCell ref="BG49:BG54"/>
    <mergeCell ref="BG55:BG60"/>
    <mergeCell ref="BG61:BG66"/>
    <mergeCell ref="BG67:BG72"/>
    <mergeCell ref="BG73:BG78"/>
    <mergeCell ref="BG79:BG84"/>
    <mergeCell ref="BG85:BG90"/>
    <mergeCell ref="BG91:BG96"/>
    <mergeCell ref="BG97:BG102"/>
    <mergeCell ref="BG103:BG108"/>
    <mergeCell ref="BG109:BG114"/>
    <mergeCell ref="BG115:BG120"/>
    <mergeCell ref="BG121:BG126"/>
    <mergeCell ref="BG127:BG132"/>
    <mergeCell ref="BG133:BG138"/>
    <mergeCell ref="BG139:BG144"/>
    <mergeCell ref="BG145:BG150"/>
    <mergeCell ref="BG151:BG156"/>
    <mergeCell ref="BG157:BG162"/>
    <mergeCell ref="BG163:BG168"/>
    <mergeCell ref="BG169:BG174"/>
    <mergeCell ref="BG175:BG180"/>
    <mergeCell ref="BG181:BG186"/>
    <mergeCell ref="BG187:BG192"/>
    <mergeCell ref="BG193:BG198"/>
    <mergeCell ref="BG199:BG204"/>
    <mergeCell ref="BG205:BG210"/>
    <mergeCell ref="BG211:BG216"/>
    <mergeCell ref="BG217:BG222"/>
    <mergeCell ref="BG223:BG228"/>
    <mergeCell ref="BG229:BG234"/>
    <mergeCell ref="BG235:BG240"/>
    <mergeCell ref="BG241:BG246"/>
    <mergeCell ref="BG247:BG252"/>
    <mergeCell ref="BG253:BG258"/>
    <mergeCell ref="BG259:BG264"/>
    <mergeCell ref="BG265:BG270"/>
    <mergeCell ref="BG271:BG276"/>
    <mergeCell ref="BG277:BG282"/>
    <mergeCell ref="BG283:BG288"/>
    <mergeCell ref="BG289:BG294"/>
    <mergeCell ref="BG295:BG300"/>
    <mergeCell ref="BG301:BG306"/>
    <mergeCell ref="BG307:BG312"/>
    <mergeCell ref="BG313:BG318"/>
    <mergeCell ref="BG319:BG324"/>
    <mergeCell ref="BG325:BG330"/>
    <mergeCell ref="BG331:BG336"/>
    <mergeCell ref="BG337:BG342"/>
    <mergeCell ref="BG343:BG348"/>
    <mergeCell ref="BG349:BG354"/>
    <mergeCell ref="BG355:BG360"/>
    <mergeCell ref="BG361:BG366"/>
    <mergeCell ref="BH13:BH18"/>
    <mergeCell ref="BH19:BH24"/>
    <mergeCell ref="BH25:BH30"/>
    <mergeCell ref="BH31:BH36"/>
    <mergeCell ref="BH37:BH42"/>
    <mergeCell ref="BH43:BH48"/>
    <mergeCell ref="BH49:BH54"/>
    <mergeCell ref="BH55:BH60"/>
    <mergeCell ref="BH61:BH66"/>
    <mergeCell ref="BH67:BH72"/>
    <mergeCell ref="BH73:BH78"/>
    <mergeCell ref="BH79:BH84"/>
    <mergeCell ref="BH85:BH90"/>
    <mergeCell ref="BH91:BH96"/>
    <mergeCell ref="BH97:BH102"/>
    <mergeCell ref="BH103:BH108"/>
    <mergeCell ref="BH109:BH114"/>
    <mergeCell ref="BH115:BH120"/>
    <mergeCell ref="BH121:BH126"/>
    <mergeCell ref="BH127:BH132"/>
    <mergeCell ref="BH133:BH138"/>
    <mergeCell ref="BH139:BH144"/>
    <mergeCell ref="BH145:BH150"/>
    <mergeCell ref="BH151:BH156"/>
    <mergeCell ref="BH157:BH162"/>
    <mergeCell ref="BH163:BH168"/>
    <mergeCell ref="BH169:BH174"/>
    <mergeCell ref="BH175:BH180"/>
    <mergeCell ref="BH181:BH186"/>
    <mergeCell ref="BH187:BH192"/>
    <mergeCell ref="BH193:BH198"/>
    <mergeCell ref="BH199:BH204"/>
    <mergeCell ref="BH205:BH210"/>
    <mergeCell ref="BH211:BH216"/>
    <mergeCell ref="BH217:BH222"/>
    <mergeCell ref="BH223:BH228"/>
    <mergeCell ref="BH229:BH234"/>
    <mergeCell ref="BH235:BH240"/>
    <mergeCell ref="BH241:BH246"/>
    <mergeCell ref="BH247:BH252"/>
    <mergeCell ref="BH253:BH258"/>
    <mergeCell ref="BH259:BH264"/>
    <mergeCell ref="BH265:BH270"/>
    <mergeCell ref="BH271:BH276"/>
    <mergeCell ref="BH277:BH282"/>
    <mergeCell ref="BH283:BH288"/>
    <mergeCell ref="BH289:BH294"/>
    <mergeCell ref="BH295:BH300"/>
    <mergeCell ref="BH301:BH306"/>
    <mergeCell ref="BH307:BH312"/>
    <mergeCell ref="BH313:BH318"/>
    <mergeCell ref="BH319:BH324"/>
    <mergeCell ref="BH325:BH330"/>
    <mergeCell ref="BH331:BH336"/>
    <mergeCell ref="BH337:BH342"/>
    <mergeCell ref="BH343:BH348"/>
    <mergeCell ref="BH349:BH354"/>
    <mergeCell ref="BH355:BH360"/>
    <mergeCell ref="BH361:BH366"/>
    <mergeCell ref="BI13:BI18"/>
    <mergeCell ref="BI19:BI24"/>
    <mergeCell ref="BI25:BI30"/>
    <mergeCell ref="BI31:BI36"/>
    <mergeCell ref="BI37:BI42"/>
    <mergeCell ref="BI43:BI48"/>
    <mergeCell ref="BI49:BI54"/>
    <mergeCell ref="BI55:BI60"/>
    <mergeCell ref="BI61:BI66"/>
    <mergeCell ref="BI67:BI72"/>
    <mergeCell ref="BI73:BI78"/>
    <mergeCell ref="BI79:BI84"/>
    <mergeCell ref="BI85:BI90"/>
    <mergeCell ref="BI91:BI96"/>
    <mergeCell ref="BI97:BI102"/>
    <mergeCell ref="BI103:BI108"/>
    <mergeCell ref="BI109:BI114"/>
    <mergeCell ref="BI115:BI120"/>
    <mergeCell ref="BI121:BI126"/>
    <mergeCell ref="BI127:BI132"/>
    <mergeCell ref="BI133:BI138"/>
    <mergeCell ref="BI139:BI144"/>
    <mergeCell ref="BI145:BI150"/>
    <mergeCell ref="BI151:BI156"/>
    <mergeCell ref="BI157:BI162"/>
    <mergeCell ref="BI163:BI168"/>
    <mergeCell ref="BI169:BI174"/>
    <mergeCell ref="BI175:BI180"/>
    <mergeCell ref="BI181:BI186"/>
    <mergeCell ref="BI187:BI192"/>
    <mergeCell ref="BI193:BI198"/>
    <mergeCell ref="BI199:BI204"/>
    <mergeCell ref="BI205:BI210"/>
    <mergeCell ref="BI211:BI216"/>
    <mergeCell ref="BI217:BI222"/>
    <mergeCell ref="BI223:BI228"/>
    <mergeCell ref="BI229:BI234"/>
    <mergeCell ref="BI235:BI240"/>
    <mergeCell ref="BI241:BI246"/>
    <mergeCell ref="BI247:BI252"/>
    <mergeCell ref="BI253:BI258"/>
    <mergeCell ref="BI259:BI264"/>
    <mergeCell ref="BI265:BI270"/>
    <mergeCell ref="BI271:BI276"/>
    <mergeCell ref="BI277:BI282"/>
    <mergeCell ref="BI283:BI288"/>
    <mergeCell ref="BI289:BI294"/>
    <mergeCell ref="BI295:BI300"/>
    <mergeCell ref="BI301:BI306"/>
    <mergeCell ref="BI307:BI312"/>
    <mergeCell ref="BI313:BI318"/>
    <mergeCell ref="BI319:BI324"/>
    <mergeCell ref="BI325:BI330"/>
    <mergeCell ref="BI331:BI336"/>
    <mergeCell ref="BI337:BI342"/>
    <mergeCell ref="BI343:BI348"/>
    <mergeCell ref="BI349:BI354"/>
    <mergeCell ref="BI355:BI360"/>
    <mergeCell ref="BI361:BI366"/>
    <mergeCell ref="BJ13:BJ18"/>
    <mergeCell ref="BJ19:BJ24"/>
    <mergeCell ref="BJ25:BJ30"/>
    <mergeCell ref="BJ31:BJ36"/>
    <mergeCell ref="BJ37:BJ42"/>
    <mergeCell ref="BJ43:BJ48"/>
    <mergeCell ref="BJ49:BJ54"/>
    <mergeCell ref="BJ55:BJ60"/>
    <mergeCell ref="BJ61:BJ66"/>
    <mergeCell ref="BJ67:BJ72"/>
    <mergeCell ref="BJ73:BJ78"/>
    <mergeCell ref="BJ79:BJ84"/>
    <mergeCell ref="BJ85:BJ90"/>
    <mergeCell ref="BJ91:BJ96"/>
    <mergeCell ref="BJ97:BJ102"/>
    <mergeCell ref="BJ103:BJ108"/>
    <mergeCell ref="BJ109:BJ114"/>
    <mergeCell ref="BJ115:BJ120"/>
    <mergeCell ref="BJ121:BJ126"/>
    <mergeCell ref="BJ127:BJ132"/>
    <mergeCell ref="BJ133:BJ138"/>
    <mergeCell ref="BJ139:BJ144"/>
    <mergeCell ref="BJ145:BJ150"/>
    <mergeCell ref="BJ151:BJ156"/>
    <mergeCell ref="BJ157:BJ162"/>
    <mergeCell ref="BJ163:BJ168"/>
    <mergeCell ref="BJ169:BJ174"/>
    <mergeCell ref="BJ175:BJ180"/>
    <mergeCell ref="BJ181:BJ186"/>
    <mergeCell ref="BJ187:BJ192"/>
    <mergeCell ref="BJ193:BJ198"/>
    <mergeCell ref="BJ199:BJ204"/>
    <mergeCell ref="BJ205:BJ210"/>
    <mergeCell ref="BJ211:BJ216"/>
    <mergeCell ref="BJ217:BJ222"/>
    <mergeCell ref="BJ223:BJ228"/>
    <mergeCell ref="BJ229:BJ234"/>
    <mergeCell ref="BJ235:BJ240"/>
    <mergeCell ref="BJ241:BJ246"/>
    <mergeCell ref="BJ247:BJ252"/>
    <mergeCell ref="BJ253:BJ258"/>
    <mergeCell ref="BJ259:BJ264"/>
    <mergeCell ref="BJ265:BJ270"/>
    <mergeCell ref="BJ271:BJ276"/>
    <mergeCell ref="BJ277:BJ282"/>
    <mergeCell ref="BJ283:BJ288"/>
    <mergeCell ref="BJ289:BJ294"/>
    <mergeCell ref="BJ295:BJ300"/>
    <mergeCell ref="BJ301:BJ306"/>
    <mergeCell ref="BJ307:BJ312"/>
    <mergeCell ref="BJ313:BJ318"/>
    <mergeCell ref="BJ319:BJ324"/>
    <mergeCell ref="BJ325:BJ330"/>
    <mergeCell ref="BJ331:BJ336"/>
    <mergeCell ref="BJ337:BJ342"/>
    <mergeCell ref="BJ343:BJ348"/>
    <mergeCell ref="BJ349:BJ354"/>
    <mergeCell ref="BJ355:BJ360"/>
    <mergeCell ref="BJ361:BJ366"/>
    <mergeCell ref="BK13:BK18"/>
    <mergeCell ref="BK19:BK24"/>
    <mergeCell ref="BK25:BK30"/>
    <mergeCell ref="BK31:BK36"/>
    <mergeCell ref="BK37:BK42"/>
    <mergeCell ref="BK43:BK48"/>
    <mergeCell ref="BK49:BK54"/>
    <mergeCell ref="BK55:BK60"/>
    <mergeCell ref="BK61:BK66"/>
    <mergeCell ref="BK67:BK72"/>
    <mergeCell ref="BK73:BK78"/>
    <mergeCell ref="BK79:BK84"/>
    <mergeCell ref="BK85:BK90"/>
    <mergeCell ref="BK91:BK96"/>
    <mergeCell ref="BK97:BK102"/>
    <mergeCell ref="BK103:BK108"/>
    <mergeCell ref="BK109:BK114"/>
    <mergeCell ref="BK115:BK120"/>
    <mergeCell ref="BK121:BK126"/>
    <mergeCell ref="BK127:BK132"/>
    <mergeCell ref="BK133:BK138"/>
    <mergeCell ref="BK139:BK144"/>
    <mergeCell ref="BK145:BK150"/>
    <mergeCell ref="BK151:BK156"/>
    <mergeCell ref="BK157:BK162"/>
    <mergeCell ref="BK163:BK168"/>
    <mergeCell ref="BK169:BK174"/>
    <mergeCell ref="BK175:BK180"/>
    <mergeCell ref="BK181:BK186"/>
    <mergeCell ref="BK187:BK192"/>
    <mergeCell ref="BK295:BK300"/>
    <mergeCell ref="BK301:BK306"/>
    <mergeCell ref="BK307:BK312"/>
    <mergeCell ref="BK313:BK318"/>
    <mergeCell ref="BK319:BK324"/>
    <mergeCell ref="BK325:BK330"/>
    <mergeCell ref="BK331:BK336"/>
    <mergeCell ref="BK337:BK342"/>
    <mergeCell ref="BK343:BK348"/>
    <mergeCell ref="BK349:BK354"/>
    <mergeCell ref="BK355:BK360"/>
    <mergeCell ref="BK361:BK366"/>
    <mergeCell ref="BK193:BK198"/>
    <mergeCell ref="BK199:BK204"/>
    <mergeCell ref="BK205:BK210"/>
    <mergeCell ref="BK211:BK216"/>
    <mergeCell ref="BK217:BK222"/>
    <mergeCell ref="BK223:BK228"/>
    <mergeCell ref="BK229:BK234"/>
    <mergeCell ref="BK235:BK240"/>
    <mergeCell ref="BK241:BK246"/>
    <mergeCell ref="BK247:BK252"/>
    <mergeCell ref="BK253:BK258"/>
    <mergeCell ref="BK259:BK264"/>
    <mergeCell ref="BK265:BK270"/>
    <mergeCell ref="BK271:BK276"/>
    <mergeCell ref="BK277:BK282"/>
    <mergeCell ref="BK283:BK288"/>
    <mergeCell ref="BK289:BK294"/>
  </mergeCells>
  <conditionalFormatting sqref="AF7">
    <cfRule type="cellIs" dxfId="35" priority="125" operator="equal">
      <formula>"Extremo"</formula>
    </cfRule>
    <cfRule type="cellIs" dxfId="34" priority="126" operator="equal">
      <formula>"Alto"</formula>
    </cfRule>
    <cfRule type="cellIs" dxfId="33" priority="127" operator="equal">
      <formula>"Moderado"</formula>
    </cfRule>
    <cfRule type="cellIs" dxfId="32" priority="128" operator="equal">
      <formula>"Bajo"</formula>
    </cfRule>
  </conditionalFormatting>
  <conditionalFormatting sqref="AF13 AF19 AF25 AF31 AF37 AF43 AF49 AF55 AF61 AF67 AF73 AF79 AF85 AF91 AF97 AF103 AF109 AF115 AF121 AF127 AF133 AF139 AF145 AF151 AF157 AF163 AF169 AF175 AF181 AF187 AF193 AF199 AF205 AF211 AF217 AF223 AF229 AF235 AF241 AF247 AF253 AF259 AF265 AF271 AF277 AF283 AF289 AF295 AF301 AF307 AF313 AF319 AF325 AF331 AF337 AF343 AF349 AF355 AF361">
    <cfRule type="cellIs" dxfId="31" priority="5" operator="equal">
      <formula>"Extremo"</formula>
    </cfRule>
    <cfRule type="cellIs" dxfId="30" priority="6" operator="equal">
      <formula>"Alto"</formula>
    </cfRule>
    <cfRule type="cellIs" dxfId="29" priority="7" operator="equal">
      <formula>"Moderado"</formula>
    </cfRule>
    <cfRule type="cellIs" dxfId="28" priority="8" operator="equal">
      <formula>"Bajo"</formula>
    </cfRule>
  </conditionalFormatting>
  <conditionalFormatting sqref="BJ7">
    <cfRule type="cellIs" dxfId="27" priority="121" operator="equal">
      <formula>"Extremo"</formula>
    </cfRule>
    <cfRule type="cellIs" dxfId="26" priority="122" operator="equal">
      <formula>"Alto"</formula>
    </cfRule>
    <cfRule type="cellIs" dxfId="25" priority="123" operator="equal">
      <formula>"Moderado"</formula>
    </cfRule>
    <cfRule type="cellIs" dxfId="24" priority="124" operator="equal">
      <formula>"Bajo"</formula>
    </cfRule>
  </conditionalFormatting>
  <conditionalFormatting sqref="BJ13 BJ19 BJ31 BJ37 BJ43 BJ49 BJ55 BJ61 BJ67 BJ73 BJ79 BJ85 BJ91 BJ97 BJ103 BJ109 BJ115 BJ121 BJ127 BJ133 BJ139 BJ145 BJ151 BJ157 BJ163 BJ169 BJ175 BJ181 BJ187 BJ193 BJ199 BJ205 BJ211 BJ217 BJ223 BJ229 BJ235 BJ241 BJ247 BJ253 BJ259 BJ265 BJ271 BJ277 BJ283 BJ289 BJ295 BJ301 BJ307 BJ313 BJ319 BJ325 BJ331 BJ337 BJ343 BJ349 BJ355 BJ361">
    <cfRule type="cellIs" dxfId="23" priority="9" operator="equal">
      <formula>"Extremo"</formula>
    </cfRule>
    <cfRule type="cellIs" dxfId="22" priority="10" operator="equal">
      <formula>"Alto"</formula>
    </cfRule>
    <cfRule type="cellIs" dxfId="21" priority="11" operator="equal">
      <formula>"Moderado"</formula>
    </cfRule>
    <cfRule type="cellIs" dxfId="20" priority="12" operator="equal">
      <formula>"Bajo"</formula>
    </cfRule>
  </conditionalFormatting>
  <conditionalFormatting sqref="BJ25">
    <cfRule type="cellIs" dxfId="19" priority="1" operator="equal">
      <formula>"Extremo"</formula>
    </cfRule>
    <cfRule type="cellIs" dxfId="18" priority="2" operator="equal">
      <formula>"Alto"</formula>
    </cfRule>
    <cfRule type="cellIs" dxfId="17" priority="3" operator="equal">
      <formula>"Moderado"</formula>
    </cfRule>
    <cfRule type="cellIs" dxfId="16" priority="4" operator="equal">
      <formula>"Bajo"</formula>
    </cfRule>
  </conditionalFormatting>
  <dataValidations count="51">
    <dataValidation allowBlank="1" showInputMessage="1" showErrorMessage="1" prompt="Fuerte: 100_x000a__x000a_Moderado: Entre 50 y 99_x000a__x000a_Débil: Menor a 50" sqref="BE6" xr:uid="{00000000-0002-0000-0200-000000000000}"/>
    <dataValidation allowBlank="1" showInputMessage="1" showErrorMessage="1" prompt="Fuerte: 100_x000a__x000a_Moderado: 50_x000a__x000a_Débil: 0" sqref="BC6" xr:uid="{00000000-0002-0000-0200-000001000000}"/>
    <dataValidation allowBlank="1" showInputMessage="1" showErrorMessage="1" prompt="Fuerte: Siempre se ejecuta_x000a__x000a_Moderado: Algunas veces_x000a__x000a_Débil: No se ejecuta " sqref="AZ6:BA6" xr:uid="{00000000-0002-0000-0200-000002000000}"/>
    <dataValidation allowBlank="1" showInputMessage="1" showErrorMessage="1" prompt="Fuerte: Calificación entre 96 y 100_x000a__x000a_Moderado: Calificación entre 86 y 95_x000a__x000a_Débil: Calificación entre 0 y 85" sqref="AY6" xr:uid="{00000000-0002-0000-0200-000003000000}"/>
    <dataValidation allowBlank="1" showInputMessage="1" showErrorMessage="1" prompt="- Confiable (15)_x000a__x000a_- No Confiable (0)_x000a_" sqref="AR6:AS6" xr:uid="{00000000-0002-0000-0200-000004000000}"/>
    <dataValidation allowBlank="1" showInputMessage="1" showErrorMessage="1" prompt="- Prevenir (15)_x000a__x000a_- Detectar (10)_x000a__x000a_- No es un Control (0)" sqref="AP6:AQ6" xr:uid="{00000000-0002-0000-0200-000005000000}"/>
    <dataValidation allowBlank="1" showInputMessage="1" showErrorMessage="1" prompt="- Oportuna (15)_x000a__x000a_- Inoportuna (0)_x000a_" sqref="AN6:AO6" xr:uid="{00000000-0002-0000-0200-000006000000}"/>
    <dataValidation allowBlank="1" showInputMessage="1" showErrorMessage="1" prompt="- Asignado (15)_x000a__x000a_- No Asignado (0)" sqref="AJ6:AK6" xr:uid="{00000000-0002-0000-0200-000007000000}"/>
    <dataValidation allowBlank="1" showInputMessage="1" showErrorMessage="1" prompt="Preventivo: Diseñados para evitar un evento no deseado en el momento que se produce, es decir intenta evitar la ocurrencia_x000a__x000a_Detectivos: Diseñados para identificar un evento o resultado no previsto después de que se haya producido, es decir corregir " sqref="AI6" xr:uid="{00000000-0002-0000-0200-000008000000}"/>
    <dataValidation allowBlank="1" showInputMessage="1" showErrorMessage="1" prompt="Completa (10)_x000a__x000a_Incompleta (5)_x000a__x000a_No esxiste (0)" sqref="AV6:AW6" xr:uid="{00000000-0002-0000-0200-000009000000}"/>
    <dataValidation allowBlank="1" showInputMessage="1" showErrorMessage="1" prompt="- Se investigan y se resuelven Oportunamente (15)_x000a__x000a_- No se investigan y resuelven Oportunamente (0)_x000a_" sqref="AT6:AU6" xr:uid="{00000000-0002-0000-0200-00000A000000}"/>
    <dataValidation allowBlank="1" showInputMessage="1" showErrorMessage="1" prompt="- Adecuado (15)_x000a__x000a_- Inadecuado (0)_x000a_" sqref="AL6:AM6" xr:uid="{00000000-0002-0000-0200-00000B000000}"/>
    <dataValidation allowBlank="1" showInputMessage="1" showErrorMessage="1" prompt="Promedio entre el diseño Total de Control y Total Solidez Individual " sqref="BD6" xr:uid="{00000000-0002-0000-0200-00000C000000}"/>
    <dataValidation allowBlank="1" showInputMessage="1" showErrorMessage="1" prompt="Fuerte+Fuerte=Fuerte_x000a_Fuerte+Moderado=Moderado_x000a_Fuerte+Débil=Débil_x000a_Moderado+Fuerte=Moderado_x000a_Moderado+Moderado=Moderado_x000a_Moderado+Débil=Débil_x000a_Débil+Fuerte=Débil_x000a_Débil+Moderado=Débil_x000a_Débil+Débil=Débil" sqref="BB6" xr:uid="{00000000-0002-0000-0200-00000D000000}"/>
    <dataValidation allowBlank="1" showInputMessage="1" showErrorMessage="1" prompt="Si el resultado de las calificaciones del control o promedio en el diseño de los controles, está por debajo de 96%, se debe establecer un plan de acción que permita tener un control bien diseñado" sqref="AX6" xr:uid="{00000000-0002-0000-0200-00000E000000}"/>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A6 AC6:AE6" xr:uid="{00000000-0002-0000-0200-00000F000000}"/>
    <dataValidation allowBlank="1" showInputMessage="1" showErrorMessage="1" prompt="Casi Seguro (5): Se espera que evento ocurra en la mayoría _x000a_Probable (4): Es viable que el evento ocurra en la mayoría_x000a_Posible (3): Puede ocurrir en algún momento. Últimos 2 años_x000a_Improbable (2): Puede Ocurrir en algún momento. Últimos 5 años_x000a_Rara Vez (1)" sqref="AB6" xr:uid="{00000000-0002-0000-0200-000010000000}"/>
    <dataValidation type="list" allowBlank="1" showInputMessage="1" showErrorMessage="1" sqref="AH7:AH12 AH14:AH15 AH19:AH20 AH25 AH31:AH33 AH37:AH40 AH55:AH57 AH61:AH62 AH67" xr:uid="{00000000-0002-0000-0200-000011000000}">
      <formula1>$E$7:$E$12</formula1>
    </dataValidation>
    <dataValidation type="list" allowBlank="1" showInputMessage="1" showErrorMessage="1" sqref="AH205:AH366" xr:uid="{00000000-0002-0000-0200-000012000000}">
      <formula1>$E$13:$E$366</formula1>
    </dataValidation>
    <dataValidation type="list" allowBlank="1" showInputMessage="1" showErrorMessage="1" sqref="AH13 AH16:AH18 AH43:AH44" xr:uid="{00000000-0002-0000-0200-000013000000}">
      <formula1>$E$13:$E$18</formula1>
    </dataValidation>
    <dataValidation type="list" allowBlank="1" showInputMessage="1" showErrorMessage="1" sqref="AH21:AH24 AH49:AH52" xr:uid="{00000000-0002-0000-0200-000014000000}">
      <formula1>$E$19:$E$24</formula1>
    </dataValidation>
    <dataValidation type="list" allowBlank="1" showInputMessage="1" showErrorMessage="1" sqref="AH26:AH30" xr:uid="{00000000-0002-0000-0200-000015000000}">
      <formula1>$E$25:$E$30</formula1>
    </dataValidation>
    <dataValidation type="list" allowBlank="1" showInputMessage="1" showErrorMessage="1" sqref="AH34:AH36" xr:uid="{00000000-0002-0000-0200-000016000000}">
      <formula1>$E$31:$E$36</formula1>
    </dataValidation>
    <dataValidation type="list" allowBlank="1" showInputMessage="1" showErrorMessage="1" sqref="AH41:AH42" xr:uid="{00000000-0002-0000-0200-000017000000}">
      <formula1>$E$37:$E$42</formula1>
    </dataValidation>
    <dataValidation type="list" allowBlank="1" showInputMessage="1" showErrorMessage="1" sqref="AH45:AH48" xr:uid="{00000000-0002-0000-0200-000018000000}">
      <formula1>$E$43:$E$48</formula1>
    </dataValidation>
    <dataValidation type="list" allowBlank="1" showInputMessage="1" showErrorMessage="1" sqref="AH53:AH54" xr:uid="{00000000-0002-0000-0200-000019000000}">
      <formula1>$E$49:$E$54</formula1>
    </dataValidation>
    <dataValidation type="list" allowBlank="1" showInputMessage="1" showErrorMessage="1" sqref="AH58:AH60" xr:uid="{00000000-0002-0000-0200-00001A000000}">
      <formula1>$E$55:$E$60</formula1>
    </dataValidation>
    <dataValidation type="list" allowBlank="1" showInputMessage="1" showErrorMessage="1" sqref="AH63:AH66" xr:uid="{00000000-0002-0000-0200-00001B000000}">
      <formula1>$E$61:$E$66</formula1>
    </dataValidation>
    <dataValidation type="list" allowBlank="1" showInputMessage="1" showErrorMessage="1" sqref="AH68:AH72" xr:uid="{00000000-0002-0000-0200-00001C000000}">
      <formula1>$E$67:$E$72</formula1>
    </dataValidation>
    <dataValidation type="list" allowBlank="1" showInputMessage="1" showErrorMessage="1" sqref="AH73:AH78" xr:uid="{00000000-0002-0000-0200-00001D000000}">
      <formula1>$E$73:$E$78</formula1>
    </dataValidation>
    <dataValidation type="list" allowBlank="1" showInputMessage="1" showErrorMessage="1" sqref="AH82:AH84" xr:uid="{00000000-0002-0000-0200-00001E000000}">
      <formula1>$E$79:$E$84</formula1>
    </dataValidation>
    <dataValidation type="list" allowBlank="1" showInputMessage="1" showErrorMessage="1" sqref="AH85:AH90" xr:uid="{00000000-0002-0000-0200-00001F000000}">
      <formula1>$E$85:$E$90</formula1>
    </dataValidation>
    <dataValidation type="list" allowBlank="1" showInputMessage="1" showErrorMessage="1" sqref="AH91:AH96" xr:uid="{00000000-0002-0000-0200-000020000000}">
      <formula1>$E$91:$E$96</formula1>
    </dataValidation>
    <dataValidation type="list" allowBlank="1" showInputMessage="1" showErrorMessage="1" sqref="AH97:AH102" xr:uid="{00000000-0002-0000-0200-000021000000}">
      <formula1>$E$97:$E$102</formula1>
    </dataValidation>
    <dataValidation type="list" allowBlank="1" showInputMessage="1" showErrorMessage="1" sqref="AH103:AH108" xr:uid="{00000000-0002-0000-0200-000022000000}">
      <formula1>$E$103:$E$108</formula1>
    </dataValidation>
    <dataValidation type="list" allowBlank="1" showInputMessage="1" showErrorMessage="1" sqref="AH109:AH114" xr:uid="{00000000-0002-0000-0200-000023000000}">
      <formula1>$E$109:$E$114</formula1>
    </dataValidation>
    <dataValidation type="list" allowBlank="1" showInputMessage="1" showErrorMessage="1" sqref="AH115:AH120" xr:uid="{00000000-0002-0000-0200-000024000000}">
      <formula1>$E$115:$E$120</formula1>
    </dataValidation>
    <dataValidation type="list" allowBlank="1" showInputMessage="1" showErrorMessage="1" sqref="AH121:AH126" xr:uid="{00000000-0002-0000-0200-000025000000}">
      <formula1>$E$121:$E$126</formula1>
    </dataValidation>
    <dataValidation type="list" allowBlank="1" showInputMessage="1" showErrorMessage="1" sqref="AH127:AH132" xr:uid="{00000000-0002-0000-0200-000026000000}">
      <formula1>$E$127:$E$132</formula1>
    </dataValidation>
    <dataValidation type="list" allowBlank="1" showInputMessage="1" showErrorMessage="1" sqref="AH133:AH138" xr:uid="{00000000-0002-0000-0200-000027000000}">
      <formula1>$E$133:$E$138</formula1>
    </dataValidation>
    <dataValidation type="list" allowBlank="1" showInputMessage="1" showErrorMessage="1" sqref="AH139:AH144" xr:uid="{00000000-0002-0000-0200-000028000000}">
      <formula1>$E$139:$E$144</formula1>
    </dataValidation>
    <dataValidation type="list" allowBlank="1" showInputMessage="1" showErrorMessage="1" sqref="AH145:AH150" xr:uid="{00000000-0002-0000-0200-000029000000}">
      <formula1>$E$145:$E$150</formula1>
    </dataValidation>
    <dataValidation type="list" allowBlank="1" showInputMessage="1" showErrorMessage="1" sqref="AH151:AH156" xr:uid="{00000000-0002-0000-0200-00002A000000}">
      <formula1>$E$151:$E$156</formula1>
    </dataValidation>
    <dataValidation type="list" allowBlank="1" showInputMessage="1" showErrorMessage="1" sqref="AH157:AH162" xr:uid="{00000000-0002-0000-0200-00002B000000}">
      <formula1>$E$157:$E$162</formula1>
    </dataValidation>
    <dataValidation type="list" allowBlank="1" showInputMessage="1" showErrorMessage="1" sqref="AH163:AH168" xr:uid="{00000000-0002-0000-0200-00002C000000}">
      <formula1>$E$163:$E$168</formula1>
    </dataValidation>
    <dataValidation type="list" allowBlank="1" showInputMessage="1" showErrorMessage="1" sqref="AH169:AH174" xr:uid="{00000000-0002-0000-0200-00002D000000}">
      <formula1>$E$169:$E$174</formula1>
    </dataValidation>
    <dataValidation type="list" allowBlank="1" showInputMessage="1" showErrorMessage="1" sqref="AH175:AH180" xr:uid="{00000000-0002-0000-0200-00002E000000}">
      <formula1>$E$175:$E$180</formula1>
    </dataValidation>
    <dataValidation type="list" allowBlank="1" showInputMessage="1" showErrorMessage="1" sqref="AH181:AH186" xr:uid="{00000000-0002-0000-0200-00002F000000}">
      <formula1>$E$181:$E$186</formula1>
    </dataValidation>
    <dataValidation type="list" allowBlank="1" showInputMessage="1" showErrorMessage="1" sqref="AH187:AH192" xr:uid="{00000000-0002-0000-0200-000030000000}">
      <formula1>$E$187:$E$192</formula1>
    </dataValidation>
    <dataValidation type="list" allowBlank="1" showInputMessage="1" showErrorMessage="1" sqref="AH193:AH198" xr:uid="{00000000-0002-0000-0200-000031000000}">
      <formula1>$E$193:$E$198</formula1>
    </dataValidation>
    <dataValidation type="list" allowBlank="1" showInputMessage="1" showErrorMessage="1" sqref="AH199:AH204" xr:uid="{00000000-0002-0000-0200-000032000000}">
      <formula1>$E$199:$E$204</formula1>
    </dataValidation>
  </dataValidations>
  <printOptions horizontalCentered="1"/>
  <pageMargins left="0" right="0" top="0.35433070866141736" bottom="0.35433070866141736" header="0.31496062992125984" footer="0.31496062992125984"/>
  <pageSetup paperSize="5" scale="50" pageOrder="overThenDown" orientation="portrait"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200-000033000000}">
          <x14:formula1>
            <xm:f>Listados!$B$26:$B$27</xm:f>
          </x14:formula1>
          <xm:sqref>AJ34:AJ366 AR34:AR366 M25:M30 AT34:AT366 AL34:AL1048576 H7:Z12 AL7:AL24 AT7:AT24 AR7:AR24 AN34:AN366 AJ7:AJ24 AN7:AN24 AL26:AL30 AT26:AT30 AR26:AR30 AJ26:AJ30 AN26:AN30 H67:Z90 H97:Z366</xm:sqref>
        </x14:dataValidation>
        <x14:dataValidation type="list" allowBlank="1" showInputMessage="1" showErrorMessage="1" xr:uid="{00000000-0002-0000-0200-000034000000}">
          <x14:formula1>
            <xm:f>Corrupción!$J$3:$J$7</xm:f>
          </x14:formula1>
          <xm:sqref>AB7:AB12 AB31:AB36 AB61:AB366</xm:sqref>
        </x14:dataValidation>
        <x14:dataValidation type="list" allowBlank="1" showInputMessage="1" showErrorMessage="1" xr:uid="{00000000-0002-0000-0200-000035000000}">
          <x14:formula1>
            <xm:f>Listados!$B$3:$B$20</xm:f>
          </x14:formula1>
          <xm:sqref>B361 B7:B12 B355 B349 B343 B43 B55 B61 B67 B73 B79 B31:B37 B85 B97 B103 B109 B115 B121 B127 B133 B139 B145 B151 B157 B163 B169 B175 B181 B187 B193 B199 B205 B211 B217 B223 B229 B235 B241 B247 B253 B259 B265 B271 B277 B283 B289 B295 B301 B307 B313 B319 B325 B331 B337 B49 B91</xm:sqref>
        </x14:dataValidation>
        <x14:dataValidation type="list" allowBlank="1" showInputMessage="1" showErrorMessage="1" xr:uid="{00000000-0002-0000-0200-000036000000}">
          <x14:formula1>
            <xm:f>Listados!$G$26:$G$27</xm:f>
          </x14:formula1>
          <xm:sqref>AI7:AI13 AI16:AI24 AI26:AI30 AI34:AI36 AI41:AI48 AI53:AI54 AI58:AI60 AI63:AI366 AP7:AP30 AP34:AP366</xm:sqref>
        </x14:dataValidation>
        <x14:dataValidation type="list" allowBlank="1" showInputMessage="1" showErrorMessage="1" xr:uid="{00000000-0002-0000-0200-000037000000}">
          <x14:formula1>
            <xm:f>Listados!$C$26:$C$28</xm:f>
          </x14:formula1>
          <xm:sqref>AV7:AV24 AV26:AV30 AV34:AV366</xm:sqref>
        </x14:dataValidation>
        <x14:dataValidation type="list" allowBlank="1" showInputMessage="1" showErrorMessage="1" xr:uid="{00000000-0002-0000-0200-000038000000}">
          <x14:formula1>
            <xm:f>Listados!$E$26:$E$28</xm:f>
          </x14:formula1>
          <xm:sqref>AZ7:AZ24 AZ26:AZ366</xm:sqref>
        </x14:dataValidation>
        <x14:dataValidation type="list" allowBlank="1" showInputMessage="1" showErrorMessage="1" xr:uid="{00000000-0002-0000-0200-000039000000}">
          <x14:formula1>
            <xm:f>Listados!$E$3:$E$4</xm:f>
          </x14:formula1>
          <xm:sqref>F7:F13 F16:F18 F22:F24 F27:F30 F34:F36 F40:F42 F45:F48 F58:F60 F63:F78 F82:F90 F97:F1048576</xm:sqref>
        </x14:dataValidation>
        <x14:dataValidation type="list" allowBlank="1" showInputMessage="1" showErrorMessage="1" xr:uid="{00000000-0002-0000-0200-00003A000000}">
          <x14:formula1>
            <xm:f>'C:\Users\dpyate\Downloads\[MC-FO-07 MAPA DE RIEGOS DEL PROCESO (1).xlsm]Listados'!#REF!</xm:f>
          </x14:formula1>
          <xm:sqref>E19 H19:Z24 B19:B24 F19:F21</xm:sqref>
        </x14:dataValidation>
        <x14:dataValidation type="list" allowBlank="1" showInputMessage="1" showErrorMessage="1" xr:uid="{00000000-0002-0000-0200-00003B000000}">
          <x14:formula1>
            <xm:f>'C:\Users\dpyate\Downloads\[MC-FO-07 MAPA DE RIEGOS DEL PROCESO (1).xlsm]Corrupción'!#REF!</xm:f>
          </x14:formula1>
          <xm:sqref>AB19:AB24</xm:sqref>
        </x14:dataValidation>
        <x14:dataValidation type="list" allowBlank="1" showInputMessage="1" showErrorMessage="1" xr:uid="{00000000-0002-0000-0200-00003C000000}">
          <x14:formula1>
            <xm:f>'C:\Users\ana sofia\Downloads\[RIESGO GRUPO GESTIÓN DOCUMENTAL (1).xlsx]Listados'!#REF!</xm:f>
          </x14:formula1>
          <xm:sqref>B25:B30 AZ25 AV25 H25:L30 N25:Z30 AN25 AI25:AJ25 F25:F26 AR25 AT25 AL25</xm:sqref>
        </x14:dataValidation>
        <x14:dataValidation type="list" allowBlank="1" showInputMessage="1" showErrorMessage="1" xr:uid="{00000000-0002-0000-0200-00003D000000}">
          <x14:formula1>
            <xm:f>'C:\Users\ana sofia\Downloads\[RIESGO GRUPO GESTIÓN DOCUMENTAL (1).xlsx]Corrupción'!#REF!</xm:f>
          </x14:formula1>
          <xm:sqref>AB25:AB30</xm:sqref>
        </x14:dataValidation>
        <x14:dataValidation type="list" allowBlank="1" showInputMessage="1" showErrorMessage="1" xr:uid="{00000000-0002-0000-0200-00003E000000}">
          <x14:formula1>
            <xm:f>'C:\Users\Miguelito\Downloads\[Mapa de Riesgos_PROCESO SEGUIMIENTO Y EVALUACIÓN (1) (1).xlsx]Listados'!#REF!</xm:f>
          </x14:formula1>
          <xm:sqref>F31:F33 AI31:AI33 H31:Z36</xm:sqref>
        </x14:dataValidation>
        <x14:dataValidation type="list" allowBlank="1" showInputMessage="1" showErrorMessage="1" xr:uid="{00000000-0002-0000-0200-00003F000000}">
          <x14:formula1>
            <xm:f>'C:\Users\Miguelito\Downloads\[Riesgos Drogas_1 (1).xlsx]Listados'!#REF!</xm:f>
          </x14:formula1>
          <xm:sqref>F37:F39 F43:F44 F49:F54 AI37:AI40 AI49:AI52 H37:Z54</xm:sqref>
        </x14:dataValidation>
        <x14:dataValidation type="list" allowBlank="1" showInputMessage="1" showErrorMessage="1" xr:uid="{00000000-0002-0000-0200-000040000000}">
          <x14:formula1>
            <xm:f>'C:\Users\Miguelito\Downloads\[Riesgos Drogas_1 (1).xlsx]Corrupción'!#REF!</xm:f>
          </x14:formula1>
          <xm:sqref>AB37:AB54</xm:sqref>
        </x14:dataValidation>
        <x14:dataValidation type="list" allowBlank="1" showInputMessage="1" showErrorMessage="1" xr:uid="{00000000-0002-0000-0200-000041000000}">
          <x14:formula1>
            <xm:f>'https://minjusticiagovco-my.sharepoint.com/personal/mjrodriguez_minjusticia_gov_co/Documents/MATRIZ DE RIESGOS/VIGENCIA 2021/SEGUNDO CUATRIMESTRE/SEGUIMIENTO MATRIZ DE RIESGO/[MATRIZ RIESGOS GESTION Y CORRUPCIÓN FINAL (1).xlsx]Listados'!#REF!</xm:f>
          </x14:formula1>
          <xm:sqref>F91:F96 H91:Z96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C366"/>
  <sheetViews>
    <sheetView showGridLines="0" topLeftCell="J1" zoomScale="70" zoomScaleNormal="70" zoomScaleSheetLayoutView="50" workbookViewId="0">
      <selection activeCell="S15" sqref="S15"/>
    </sheetView>
  </sheetViews>
  <sheetFormatPr baseColWidth="10" defaultColWidth="11.453125" defaultRowHeight="14.5"/>
  <cols>
    <col min="1" max="1" width="4.81640625" style="19" customWidth="1"/>
    <col min="2" max="2" width="33.54296875" style="15" customWidth="1"/>
    <col min="3" max="3" width="47" style="15" customWidth="1"/>
    <col min="4" max="7" width="28.81640625" style="20" customWidth="1"/>
    <col min="8" max="10" width="25.54296875" style="20" customWidth="1"/>
    <col min="11" max="11" width="27.26953125" style="20" customWidth="1"/>
    <col min="12" max="12" width="27.7265625" style="15" customWidth="1"/>
    <col min="13" max="13" width="10.81640625" style="21" customWidth="1"/>
    <col min="14" max="14" width="10.453125" style="21" hidden="1" customWidth="1"/>
    <col min="15" max="15" width="12.453125" style="21" customWidth="1"/>
    <col min="16" max="16" width="10.453125" style="21" hidden="1" customWidth="1"/>
    <col min="17" max="17" width="10.1796875" style="21" customWidth="1"/>
    <col min="18" max="18" width="17.1796875" style="15" customWidth="1"/>
    <col min="19" max="19" width="36.26953125" style="21" customWidth="1"/>
    <col min="20" max="20" width="36" style="21" customWidth="1"/>
    <col min="21" max="22" width="52.7265625" style="15" customWidth="1"/>
    <col min="23" max="23" width="16.453125" style="15" customWidth="1"/>
    <col min="24" max="24" width="20" style="15" customWidth="1"/>
    <col min="25" max="25" width="20" style="15" hidden="1" customWidth="1"/>
    <col min="26" max="26" width="22.81640625" style="15" customWidth="1"/>
    <col min="27" max="27" width="22.81640625" style="15" hidden="1" customWidth="1"/>
    <col min="28" max="28" width="28.1796875" style="15" bestFit="1" customWidth="1"/>
    <col min="29" max="29" width="28.1796875" style="15" hidden="1" customWidth="1"/>
    <col min="30" max="30" width="34.7265625" style="15" bestFit="1" customWidth="1"/>
    <col min="31" max="31" width="34.7265625" style="15" hidden="1" customWidth="1"/>
    <col min="32" max="32" width="24.1796875" style="15" bestFit="1" customWidth="1"/>
    <col min="33" max="33" width="24.1796875" style="15" hidden="1" customWidth="1"/>
    <col min="34" max="34" width="27.81640625" style="15" bestFit="1" customWidth="1"/>
    <col min="35" max="35" width="27.81640625" style="15" hidden="1" customWidth="1"/>
    <col min="36" max="36" width="23.81640625" style="15" bestFit="1" customWidth="1"/>
    <col min="37" max="37" width="23.81640625" style="15" hidden="1" customWidth="1"/>
    <col min="38" max="38" width="15.81640625" style="15" customWidth="1"/>
    <col min="39" max="39" width="18.54296875" style="15" customWidth="1"/>
    <col min="40" max="40" width="20.54296875" style="15" customWidth="1"/>
    <col min="41" max="41" width="20.54296875" style="15" hidden="1" customWidth="1"/>
    <col min="42" max="42" width="20.54296875" style="15" customWidth="1"/>
    <col min="43" max="43" width="20.54296875" style="15" hidden="1" customWidth="1"/>
    <col min="44" max="44" width="20.54296875" style="15" customWidth="1"/>
    <col min="45" max="45" width="20.54296875" style="15" hidden="1" customWidth="1"/>
    <col min="46" max="46" width="20.54296875" style="15" customWidth="1"/>
    <col min="47" max="48" width="20.54296875" style="15" hidden="1" customWidth="1"/>
    <col min="49" max="50" width="20.54296875" style="15" customWidth="1"/>
    <col min="51" max="53" width="15.54296875" style="15" customWidth="1"/>
    <col min="54" max="54" width="18.81640625" style="15" customWidth="1"/>
    <col min="55" max="56" width="15.54296875" style="15" customWidth="1"/>
    <col min="57" max="58" width="15.54296875" style="15" hidden="1" customWidth="1"/>
    <col min="59" max="59" width="22.26953125" style="21" customWidth="1"/>
    <col min="60" max="60" width="11.81640625" style="21" customWidth="1"/>
    <col min="61" max="61" width="19.453125" style="15" customWidth="1"/>
    <col min="65" max="65" width="17.453125" customWidth="1"/>
  </cols>
  <sheetData>
    <row r="1" spans="1:16383" s="14" customFormat="1" ht="45.75" customHeight="1" thickTop="1">
      <c r="A1" s="744" t="s">
        <v>128</v>
      </c>
      <c r="B1" s="745"/>
      <c r="C1" s="745"/>
      <c r="D1" s="745"/>
      <c r="E1" s="745"/>
      <c r="F1" s="745"/>
      <c r="G1" s="745"/>
      <c r="H1" s="750" t="s">
        <v>585</v>
      </c>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row>
    <row r="2" spans="1:16383" s="14" customFormat="1" ht="13.5" customHeight="1">
      <c r="A2" s="746"/>
      <c r="B2" s="747"/>
      <c r="C2" s="747"/>
      <c r="D2" s="747"/>
      <c r="E2" s="747"/>
      <c r="F2" s="747"/>
      <c r="G2" s="747"/>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row>
    <row r="3" spans="1:16383" s="23" customFormat="1" ht="33" customHeight="1" thickBot="1">
      <c r="A3" s="748"/>
      <c r="B3" s="749"/>
      <c r="C3" s="749"/>
      <c r="D3" s="749"/>
      <c r="E3" s="749"/>
      <c r="F3" s="749"/>
      <c r="G3" s="749"/>
      <c r="H3" s="751" t="s">
        <v>130</v>
      </c>
      <c r="I3" s="751"/>
      <c r="J3" s="751"/>
      <c r="K3" s="751"/>
      <c r="L3" s="162">
        <v>2020</v>
      </c>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row>
    <row r="4" spans="1:16383" ht="29.25" customHeight="1">
      <c r="A4" s="737" t="s">
        <v>131</v>
      </c>
      <c r="B4" s="738"/>
      <c r="C4" s="738"/>
      <c r="D4" s="738"/>
      <c r="E4" s="738"/>
      <c r="F4" s="738"/>
      <c r="G4" s="738"/>
      <c r="H4" s="738"/>
      <c r="I4" s="738"/>
      <c r="J4" s="738"/>
      <c r="K4" s="738"/>
      <c r="L4" s="738"/>
      <c r="M4" s="741"/>
      <c r="N4" s="741"/>
      <c r="O4" s="741"/>
      <c r="P4" s="741"/>
      <c r="Q4" s="741"/>
      <c r="R4" s="742" t="s">
        <v>134</v>
      </c>
      <c r="S4" s="173"/>
      <c r="T4" s="173"/>
      <c r="U4" s="741"/>
      <c r="V4" s="741"/>
      <c r="W4" s="741"/>
      <c r="X4" s="741"/>
      <c r="Y4" s="741"/>
      <c r="Z4" s="741"/>
      <c r="AA4" s="741"/>
      <c r="AB4" s="741"/>
      <c r="AC4" s="741"/>
      <c r="AD4" s="741"/>
      <c r="AE4" s="741"/>
      <c r="AF4" s="741"/>
      <c r="AG4" s="741"/>
      <c r="AH4" s="741"/>
      <c r="AI4" s="741"/>
      <c r="AJ4" s="741"/>
      <c r="AK4" s="741"/>
      <c r="AL4" s="741"/>
      <c r="AM4" s="741"/>
      <c r="AN4" s="741"/>
      <c r="AO4" s="741"/>
      <c r="AP4" s="741"/>
      <c r="AQ4" s="741"/>
      <c r="AR4" s="741"/>
      <c r="AS4" s="741"/>
      <c r="AT4" s="741"/>
      <c r="AU4" s="741"/>
      <c r="AV4" s="741"/>
      <c r="AW4" s="741"/>
      <c r="AX4" s="741"/>
      <c r="AY4" s="741"/>
      <c r="AZ4" s="741"/>
      <c r="BA4" s="741"/>
      <c r="BB4" s="741"/>
      <c r="BC4" s="741"/>
      <c r="BD4" s="741"/>
      <c r="BE4" s="741"/>
      <c r="BF4" s="741"/>
      <c r="BG4" s="741"/>
      <c r="BH4" s="741"/>
      <c r="BI4" s="741"/>
      <c r="BJ4" s="831" t="s">
        <v>586</v>
      </c>
      <c r="BK4" s="832"/>
      <c r="BL4" s="832"/>
      <c r="BM4" s="833"/>
    </row>
    <row r="5" spans="1:16383" ht="40.5" customHeight="1" thickBot="1">
      <c r="A5" s="739"/>
      <c r="B5" s="740"/>
      <c r="C5" s="740"/>
      <c r="D5" s="740"/>
      <c r="E5" s="740"/>
      <c r="F5" s="740"/>
      <c r="G5" s="740"/>
      <c r="H5" s="740"/>
      <c r="I5" s="740"/>
      <c r="J5" s="740"/>
      <c r="K5" s="740"/>
      <c r="L5" s="740"/>
      <c r="M5" s="742" t="s">
        <v>135</v>
      </c>
      <c r="N5" s="742"/>
      <c r="O5" s="742"/>
      <c r="P5" s="742"/>
      <c r="Q5" s="742"/>
      <c r="R5" s="742"/>
      <c r="S5" s="174"/>
      <c r="T5" s="174"/>
      <c r="U5" s="789" t="s">
        <v>136</v>
      </c>
      <c r="V5" s="790"/>
      <c r="W5" s="791"/>
      <c r="X5" s="789" t="s">
        <v>137</v>
      </c>
      <c r="Y5" s="790"/>
      <c r="Z5" s="790"/>
      <c r="AA5" s="790"/>
      <c r="AB5" s="790"/>
      <c r="AC5" s="790"/>
      <c r="AD5" s="790"/>
      <c r="AE5" s="790"/>
      <c r="AF5" s="790"/>
      <c r="AG5" s="790"/>
      <c r="AH5" s="790"/>
      <c r="AI5" s="790"/>
      <c r="AJ5" s="790"/>
      <c r="AK5" s="790"/>
      <c r="AL5" s="790"/>
      <c r="AM5" s="791"/>
      <c r="AN5" s="743" t="s">
        <v>113</v>
      </c>
      <c r="AO5" s="792"/>
      <c r="AP5" s="792"/>
      <c r="AQ5" s="792"/>
      <c r="AR5" s="792"/>
      <c r="AS5" s="792"/>
      <c r="AT5" s="792"/>
      <c r="AU5" s="792"/>
      <c r="AV5" s="792"/>
      <c r="AW5" s="792"/>
      <c r="AX5" s="175"/>
      <c r="AY5" s="743" t="s">
        <v>138</v>
      </c>
      <c r="AZ5" s="788"/>
      <c r="BA5" s="743" t="s">
        <v>139</v>
      </c>
      <c r="BB5" s="788"/>
      <c r="BC5" s="134"/>
      <c r="BD5" s="134"/>
      <c r="BE5" s="134"/>
      <c r="BF5" s="134"/>
      <c r="BG5" s="742" t="s">
        <v>140</v>
      </c>
      <c r="BH5" s="742"/>
      <c r="BI5" s="742"/>
      <c r="BJ5" s="834"/>
      <c r="BK5" s="835"/>
      <c r="BL5" s="835"/>
      <c r="BM5" s="836"/>
    </row>
    <row r="6" spans="1:16383" ht="108" customHeight="1" thickBot="1">
      <c r="A6" s="58" t="s">
        <v>144</v>
      </c>
      <c r="B6" s="53" t="s">
        <v>145</v>
      </c>
      <c r="C6" s="53" t="s">
        <v>146</v>
      </c>
      <c r="D6" s="53" t="s">
        <v>587</v>
      </c>
      <c r="E6" s="53" t="s">
        <v>588</v>
      </c>
      <c r="F6" s="53" t="s">
        <v>589</v>
      </c>
      <c r="G6" s="53" t="s">
        <v>590</v>
      </c>
      <c r="H6" s="53" t="s">
        <v>591</v>
      </c>
      <c r="I6" s="53" t="s">
        <v>592</v>
      </c>
      <c r="J6" s="53" t="s">
        <v>593</v>
      </c>
      <c r="K6" s="53" t="s">
        <v>594</v>
      </c>
      <c r="L6" s="53" t="s">
        <v>152</v>
      </c>
      <c r="M6" s="176" t="s">
        <v>153</v>
      </c>
      <c r="N6" s="176"/>
      <c r="O6" s="176" t="s">
        <v>154</v>
      </c>
      <c r="P6" s="176"/>
      <c r="Q6" s="176" t="s">
        <v>155</v>
      </c>
      <c r="R6" s="177" t="s">
        <v>176</v>
      </c>
      <c r="S6" s="177" t="s">
        <v>595</v>
      </c>
      <c r="T6" s="177" t="s">
        <v>136</v>
      </c>
      <c r="U6" s="177" t="s">
        <v>156</v>
      </c>
      <c r="V6" s="177" t="s">
        <v>596</v>
      </c>
      <c r="W6" s="177" t="s">
        <v>158</v>
      </c>
      <c r="X6" s="177" t="s">
        <v>159</v>
      </c>
      <c r="Y6" s="177"/>
      <c r="Z6" s="177" t="s">
        <v>160</v>
      </c>
      <c r="AA6" s="177"/>
      <c r="AB6" s="177" t="s">
        <v>161</v>
      </c>
      <c r="AC6" s="177"/>
      <c r="AD6" s="177" t="s">
        <v>162</v>
      </c>
      <c r="AE6" s="177"/>
      <c r="AF6" s="177" t="s">
        <v>163</v>
      </c>
      <c r="AG6" s="177"/>
      <c r="AH6" s="177" t="s">
        <v>164</v>
      </c>
      <c r="AI6" s="177"/>
      <c r="AJ6" s="177" t="s">
        <v>165</v>
      </c>
      <c r="AK6" s="177"/>
      <c r="AL6" s="177" t="s">
        <v>166</v>
      </c>
      <c r="AM6" s="177" t="s">
        <v>167</v>
      </c>
      <c r="AN6" s="177" t="s">
        <v>597</v>
      </c>
      <c r="AO6" s="177"/>
      <c r="AP6" s="177" t="s">
        <v>598</v>
      </c>
      <c r="AQ6" s="177"/>
      <c r="AR6" s="177" t="s">
        <v>599</v>
      </c>
      <c r="AS6" s="177"/>
      <c r="AT6" s="177" t="s">
        <v>600</v>
      </c>
      <c r="AU6" s="177"/>
      <c r="AV6" s="177"/>
      <c r="AW6" s="177" t="s">
        <v>601</v>
      </c>
      <c r="AX6" s="177" t="s">
        <v>169</v>
      </c>
      <c r="AY6" s="177" t="s">
        <v>170</v>
      </c>
      <c r="AZ6" s="177" t="s">
        <v>171</v>
      </c>
      <c r="BA6" s="177" t="s">
        <v>172</v>
      </c>
      <c r="BB6" s="177" t="s">
        <v>173</v>
      </c>
      <c r="BC6" s="177" t="s">
        <v>174</v>
      </c>
      <c r="BD6" s="177" t="s">
        <v>175</v>
      </c>
      <c r="BE6" s="177"/>
      <c r="BF6" s="177"/>
      <c r="BG6" s="177" t="s">
        <v>153</v>
      </c>
      <c r="BH6" s="177" t="s">
        <v>154</v>
      </c>
      <c r="BI6" s="177" t="s">
        <v>155</v>
      </c>
      <c r="BJ6" s="53" t="s">
        <v>602</v>
      </c>
      <c r="BK6" s="53" t="s">
        <v>603</v>
      </c>
      <c r="BL6" s="53" t="s">
        <v>604</v>
      </c>
      <c r="BM6" s="53" t="s">
        <v>605</v>
      </c>
    </row>
    <row r="7" spans="1:16383" ht="65.150000000000006" customHeight="1" thickBot="1">
      <c r="A7" s="723">
        <v>1</v>
      </c>
      <c r="B7" s="726"/>
      <c r="C7" s="729" t="str">
        <f>IFERROR(VLOOKUP(B7,Listados!B$3:C$20,2,FALSE),"")</f>
        <v/>
      </c>
      <c r="D7" s="114"/>
      <c r="E7" s="114"/>
      <c r="F7" s="837"/>
      <c r="G7" s="816"/>
      <c r="H7" s="105"/>
      <c r="I7" s="105"/>
      <c r="J7" s="105"/>
      <c r="K7" s="109"/>
      <c r="L7" s="18"/>
      <c r="M7" s="726"/>
      <c r="N7" s="829" t="e">
        <f>+VLOOKUP(M7,Listados!$K$8:$L$12,2,0)</f>
        <v>#N/A</v>
      </c>
      <c r="O7" s="839"/>
      <c r="P7" s="829" t="e">
        <f>+VLOOKUP(O7,Listados!$K$13:$L$17,2,0)</f>
        <v>#N/A</v>
      </c>
      <c r="Q7" s="823" t="str">
        <f>IF(AND(M7&lt;&gt;"",O7&lt;&gt;""),VLOOKUP(M7&amp;O7,Listados!$M$3:$N$27,2,FALSE),"")</f>
        <v/>
      </c>
      <c r="R7" s="805" t="e">
        <f>+VLOOKUP(Q7,Listados!$P$3:$Q$6,2,FALSE)</f>
        <v>#N/A</v>
      </c>
      <c r="S7" s="140"/>
      <c r="T7" s="98"/>
      <c r="U7" s="63" t="s">
        <v>467</v>
      </c>
      <c r="V7" s="64"/>
      <c r="W7" s="65"/>
      <c r="X7" s="66"/>
      <c r="Y7" s="98"/>
      <c r="Z7" s="66"/>
      <c r="AA7" s="98"/>
      <c r="AB7" s="66"/>
      <c r="AC7" s="98"/>
      <c r="AD7" s="66"/>
      <c r="AE7" s="98"/>
      <c r="AF7" s="66"/>
      <c r="AG7" s="98"/>
      <c r="AH7" s="66"/>
      <c r="AI7" s="98"/>
      <c r="AJ7" s="66"/>
      <c r="AK7" s="67" t="str">
        <f>+IF(AJ7="Completa",10,IF(AJ7="Incompleta",5,""))</f>
        <v/>
      </c>
      <c r="AL7" s="118" t="str">
        <f>IF((SUM(Y7,AA7,AC7,AE7,AG7,AI7,AK7)=0),"",(SUM(Y7,AA7,AC7,AE7,AG7,AI7,AK7)))</f>
        <v/>
      </c>
      <c r="AM7" s="81" t="str">
        <f>IF(AL7&lt;=85,"Débil",IF(AL7&lt;=95,"Moderado",IF(AL7=100,"Fuerte","")))</f>
        <v/>
      </c>
      <c r="AN7" s="178"/>
      <c r="AO7" s="178"/>
      <c r="AP7" s="178"/>
      <c r="AQ7" s="178"/>
      <c r="AR7" s="178"/>
      <c r="AS7" s="178"/>
      <c r="AT7" s="178"/>
      <c r="AU7" s="179" t="str">
        <f>IFERROR(VLOOKUP(AT7,'Seguridad Información'!$I$61:$J$65,2,0),"")</f>
        <v/>
      </c>
      <c r="AV7" s="83"/>
      <c r="AW7" s="82" t="str">
        <f>IFERROR(AVERAGE(AO7,AQ7,AS7,AU7),"")</f>
        <v/>
      </c>
      <c r="AX7" s="81" t="str">
        <f>IF(AW7&lt;=80,"Débil",IF(AW7&lt;=90,"Moderado",IF(AW7=100,"Fuerte","")))</f>
        <v/>
      </c>
      <c r="AY7" s="22" t="str">
        <f>IFERROR(VLOOKUP((CONCATENATE(AM7,AX7)),Listados!$U$3:$V$11,2,FALSE),"")</f>
        <v/>
      </c>
      <c r="AZ7" s="118">
        <f>IF(ISBLANK(AY7),"",IF(AY7="Débil", 0, IF(AY7="Moderado",50,100)))</f>
        <v>100</v>
      </c>
      <c r="BA7" s="825">
        <f>AVERAGE(AZ7:AZ12)</f>
        <v>100</v>
      </c>
      <c r="BB7" s="827" t="str">
        <f>IF(BA7&lt;=50, "Débil", IF(BA7&lt;=99,"Moderado","Fuerte"))</f>
        <v>Fuerte</v>
      </c>
      <c r="BC7" s="68">
        <f>+IF(AND(W7="Preventivo",BB7="Fuerte"),2,IF(AND(W7="Preventivo",BB7="Moderado"),1,0))</f>
        <v>0</v>
      </c>
      <c r="BD7" s="68">
        <f>+IF(AND(W7="Detectivo/Correctivo",$BB7="Fuerte"),2,IF(AND(W7="Detectivo/Correctivo",$BB7="Moderado"),1,IF(AND(W7="Preventivo",$BB7="Fuerte"),1,0)))</f>
        <v>0</v>
      </c>
      <c r="BE7" s="68" t="e">
        <f>+N7-BC7</f>
        <v>#N/A</v>
      </c>
      <c r="BF7" s="68" t="e">
        <f>+P7-BD7</f>
        <v>#N/A</v>
      </c>
      <c r="BG7" s="821" t="e">
        <f>+VLOOKUP(MIN(BE7,BE8,BE9,BE10,BE11,BE12),Listados!$J$18:$K$24,2,TRUE)</f>
        <v>#N/A</v>
      </c>
      <c r="BH7" s="821" t="e">
        <f>+VLOOKUP(MIN(BF7,BF8,BF9,BF10,BF11,BF12),Listados!$J$26:$K$32,2,TRUE)</f>
        <v>#N/A</v>
      </c>
      <c r="BI7" s="821" t="e">
        <f>IF(AND(BG7&lt;&gt;"",BH7&lt;&gt;""),VLOOKUP(BG7&amp;BH7,Listados!$M$3:$N$27,2,FALSE),"")</f>
        <v>#N/A</v>
      </c>
      <c r="BJ7" s="802" t="e">
        <f>+IF($R7="Asumir el riesgo","NA","")</f>
        <v>#N/A</v>
      </c>
      <c r="BK7" s="802" t="e">
        <f>+IF($R7="Asumir el riesgo","NA","")</f>
        <v>#N/A</v>
      </c>
      <c r="BL7" s="802" t="e">
        <f>+IF($R7="Asumir el riesgo","NA","")</f>
        <v>#N/A</v>
      </c>
      <c r="BM7" s="802" t="e">
        <f>+IF($R7="Asumir el riesgo","NA","")</f>
        <v>#N/A</v>
      </c>
    </row>
    <row r="8" spans="1:16383" ht="65.150000000000006" customHeight="1" thickBot="1">
      <c r="A8" s="724"/>
      <c r="B8" s="727"/>
      <c r="C8" s="730"/>
      <c r="D8" s="158"/>
      <c r="E8" s="158"/>
      <c r="F8" s="814"/>
      <c r="G8" s="817"/>
      <c r="H8" s="105"/>
      <c r="I8" s="161"/>
      <c r="J8" s="105"/>
      <c r="K8" s="160"/>
      <c r="L8" s="150"/>
      <c r="M8" s="727"/>
      <c r="N8" s="720"/>
      <c r="O8" s="810"/>
      <c r="P8" s="720"/>
      <c r="Q8" s="715"/>
      <c r="R8" s="806"/>
      <c r="S8" s="140"/>
      <c r="T8" s="180"/>
      <c r="U8" s="76" t="s">
        <v>467</v>
      </c>
      <c r="V8" s="164"/>
      <c r="W8" s="143"/>
      <c r="X8" s="140"/>
      <c r="Y8" s="99"/>
      <c r="Z8" s="140"/>
      <c r="AA8" s="99"/>
      <c r="AB8" s="140"/>
      <c r="AC8" s="99"/>
      <c r="AD8" s="140"/>
      <c r="AE8" s="99"/>
      <c r="AF8" s="140"/>
      <c r="AG8" s="99"/>
      <c r="AH8" s="140"/>
      <c r="AI8" s="99"/>
      <c r="AJ8" s="140"/>
      <c r="AK8" s="28" t="str">
        <f t="shared" ref="AK8:AK71" si="0">+IF(AJ8="Completa",10,IF(AJ8="Incompleta",5,""))</f>
        <v/>
      </c>
      <c r="AL8" s="111" t="str">
        <f>IF((SUM(Y8,AA8,AC8,AE8,AG8,AI8,AK8)=0),"",(SUM(Y8,AA8,AC8,AE8,AG8,AI8,AK8)))</f>
        <v/>
      </c>
      <c r="AM8" s="111" t="str">
        <f>IF(AL8&lt;=85,"Débil",IF(AL8&lt;=95,"Moderado",IF(AL8=100,"Fuerte","")))</f>
        <v/>
      </c>
      <c r="AN8" s="178"/>
      <c r="AO8" s="178"/>
      <c r="AP8" s="178"/>
      <c r="AQ8" s="178"/>
      <c r="AR8" s="178"/>
      <c r="AS8" s="178"/>
      <c r="AT8" s="178"/>
      <c r="AU8" s="179" t="str">
        <f>IFERROR(VLOOKUP(AT8,'Seguridad Información'!$I$61:$J$65,2,0),"")</f>
        <v/>
      </c>
      <c r="AV8" s="83"/>
      <c r="AW8" s="82" t="str">
        <f t="shared" ref="AW8:AW70" si="1">IFERROR(AVERAGE(AO8,AQ8,AS8,AU8),"")</f>
        <v/>
      </c>
      <c r="AX8" s="81" t="str">
        <f t="shared" ref="AX8:AX71" si="2">IF(AW8&lt;=80,"Débil",IF(AW8&lt;=90,"Moderado",IF(AW8=100,"Fuerte","")))</f>
        <v/>
      </c>
      <c r="AY8" s="22" t="str">
        <f>IFERROR(VLOOKUP((CONCATENATE(AM8,AX8)),Listados!$U$3:$V$11,2,FALSE),"")</f>
        <v/>
      </c>
      <c r="AZ8" s="111">
        <f>IF(ISBLANK(AY8),"",IF(AY8="Débil", 0, IF(AY8="Moderado",50,100)))</f>
        <v>100</v>
      </c>
      <c r="BA8" s="717"/>
      <c r="BB8" s="761"/>
      <c r="BC8" s="142">
        <f>+IF(AND(W8="Preventivo",BB7="Fuerte"),2,IF(AND(W8="Preventivo",BB7="Moderado"),1,0))</f>
        <v>0</v>
      </c>
      <c r="BD8" s="68">
        <f>+IF(AND(W8="Detectivo/Correctivo",$BB7="Fuerte"),2,IF(AND(W8="Detectivo/Correctivo",$BB8="Moderado"),1,IF(AND(W8="Preventivo",$BB7="Fuerte"),1,0)))</f>
        <v>0</v>
      </c>
      <c r="BE8" s="142" t="e">
        <f>+N7-BC8</f>
        <v>#N/A</v>
      </c>
      <c r="BF8" s="142" t="e">
        <f>+P7-BD8</f>
        <v>#N/A</v>
      </c>
      <c r="BG8" s="713"/>
      <c r="BH8" s="713"/>
      <c r="BI8" s="713"/>
      <c r="BJ8" s="803"/>
      <c r="BK8" s="803"/>
      <c r="BL8" s="803"/>
      <c r="BM8" s="803"/>
    </row>
    <row r="9" spans="1:16383" ht="65.150000000000006" customHeight="1" thickBot="1">
      <c r="A9" s="724"/>
      <c r="B9" s="727"/>
      <c r="C9" s="730"/>
      <c r="D9" s="158"/>
      <c r="E9" s="158"/>
      <c r="F9" s="814"/>
      <c r="G9" s="817"/>
      <c r="H9" s="105"/>
      <c r="I9" s="161"/>
      <c r="J9" s="105"/>
      <c r="K9" s="160"/>
      <c r="L9" s="150"/>
      <c r="M9" s="727"/>
      <c r="N9" s="720"/>
      <c r="O9" s="810"/>
      <c r="P9" s="720"/>
      <c r="Q9" s="715"/>
      <c r="R9" s="806"/>
      <c r="S9" s="140"/>
      <c r="T9" s="100"/>
      <c r="U9" s="76" t="s">
        <v>467</v>
      </c>
      <c r="V9" s="164"/>
      <c r="W9" s="143"/>
      <c r="X9" s="140"/>
      <c r="Y9" s="99" t="str">
        <f t="shared" ref="Y9:Y71" si="3">+IF(X9="si",15,"")</f>
        <v/>
      </c>
      <c r="Z9" s="140"/>
      <c r="AA9" s="99" t="str">
        <f t="shared" ref="AA9:AA71" si="4">+IF(Z9="si",15,"")</f>
        <v/>
      </c>
      <c r="AB9" s="140"/>
      <c r="AC9" s="99" t="str">
        <f t="shared" ref="AC9:AC71" si="5">+IF(AB9="si",15,"")</f>
        <v/>
      </c>
      <c r="AD9" s="140"/>
      <c r="AE9" s="99" t="str">
        <f t="shared" ref="AE9:AE71" si="6">+IF(AD9="si",15,"")</f>
        <v/>
      </c>
      <c r="AF9" s="140"/>
      <c r="AG9" s="99" t="str">
        <f t="shared" ref="AG9:AG71" si="7">+IF(AF9="si",15,"")</f>
        <v/>
      </c>
      <c r="AH9" s="140"/>
      <c r="AI9" s="99" t="str">
        <f t="shared" ref="AI9:AI71" si="8">+IF(AH9="si",15,"")</f>
        <v/>
      </c>
      <c r="AJ9" s="140"/>
      <c r="AK9" s="28" t="str">
        <f t="shared" si="0"/>
        <v/>
      </c>
      <c r="AL9" s="111" t="str">
        <f>IF((SUM(Y9,AA9,AC9,AE9,AG9,AI9,AK9)=0),"",(SUM(Y9,AA9,AC9,AE9,AG9,AI9,AK9)))</f>
        <v/>
      </c>
      <c r="AM9" s="111" t="str">
        <f t="shared" ref="AM9:AM71" si="9">IF(AL9&lt;=85,"Débil",IF(AL9&lt;=95,"Moderado",IF(AL9=100,"Fuerte","")))</f>
        <v/>
      </c>
      <c r="AN9" s="178"/>
      <c r="AO9" s="178"/>
      <c r="AP9" s="178"/>
      <c r="AQ9" s="178"/>
      <c r="AR9" s="178"/>
      <c r="AS9" s="178"/>
      <c r="AT9" s="178"/>
      <c r="AU9" s="179" t="str">
        <f>IFERROR(VLOOKUP(AT9,'Seguridad Información'!$I$61:$J$65,2,0),"")</f>
        <v/>
      </c>
      <c r="AV9" s="83"/>
      <c r="AW9" s="82" t="str">
        <f t="shared" si="1"/>
        <v/>
      </c>
      <c r="AX9" s="81" t="str">
        <f t="shared" si="2"/>
        <v/>
      </c>
      <c r="AY9" s="22" t="str">
        <f>IFERROR(VLOOKUP((CONCATENATE(AM9,AX9)),Listados!$U$3:$V$11,2,FALSE),"")</f>
        <v/>
      </c>
      <c r="AZ9" s="111">
        <f t="shared" ref="AZ9:AZ72" si="10">IF(ISBLANK(AY9),"",IF(AY9="Débil", 0, IF(AY9="Moderado",50,100)))</f>
        <v>100</v>
      </c>
      <c r="BA9" s="717"/>
      <c r="BB9" s="761"/>
      <c r="BC9" s="142">
        <f>+IF(AND(W9="Preventivo",BB7="Fuerte"),2,IF(AND(W9="Preventivo",BB7="Moderado"),1,0))</f>
        <v>0</v>
      </c>
      <c r="BD9" s="68">
        <f>+IF(AND(W9="Detectivo/Correctivo",$BB7="Fuerte"),2,IF(AND(W9="Detectivo/Correctivo",$BB9="Moderado"),1,IF(AND(W9="Preventivo",$BB7="Fuerte"),1,0)))</f>
        <v>0</v>
      </c>
      <c r="BE9" s="142" t="e">
        <f>+N7-BC9</f>
        <v>#N/A</v>
      </c>
      <c r="BF9" s="142" t="e">
        <f>+P7-BD9</f>
        <v>#N/A</v>
      </c>
      <c r="BG9" s="713"/>
      <c r="BH9" s="713"/>
      <c r="BI9" s="713"/>
      <c r="BJ9" s="803"/>
      <c r="BK9" s="803"/>
      <c r="BL9" s="803"/>
      <c r="BM9" s="803"/>
    </row>
    <row r="10" spans="1:16383" ht="65.150000000000006" customHeight="1" thickBot="1">
      <c r="A10" s="724"/>
      <c r="B10" s="727"/>
      <c r="C10" s="730"/>
      <c r="D10" s="158"/>
      <c r="E10" s="158"/>
      <c r="F10" s="814"/>
      <c r="G10" s="817"/>
      <c r="H10" s="105"/>
      <c r="I10" s="161"/>
      <c r="J10" s="105"/>
      <c r="K10" s="160"/>
      <c r="L10" s="150"/>
      <c r="M10" s="727"/>
      <c r="N10" s="720"/>
      <c r="O10" s="810"/>
      <c r="P10" s="720"/>
      <c r="Q10" s="715"/>
      <c r="R10" s="806"/>
      <c r="S10" s="140"/>
      <c r="T10" s="101"/>
      <c r="U10" s="76" t="s">
        <v>467</v>
      </c>
      <c r="V10" s="164"/>
      <c r="W10" s="143"/>
      <c r="X10" s="140"/>
      <c r="Y10" s="99" t="str">
        <f t="shared" si="3"/>
        <v/>
      </c>
      <c r="Z10" s="140"/>
      <c r="AA10" s="99" t="str">
        <f t="shared" si="4"/>
        <v/>
      </c>
      <c r="AB10" s="140"/>
      <c r="AC10" s="99" t="str">
        <f t="shared" si="5"/>
        <v/>
      </c>
      <c r="AD10" s="140"/>
      <c r="AE10" s="99" t="str">
        <f t="shared" si="6"/>
        <v/>
      </c>
      <c r="AF10" s="140"/>
      <c r="AG10" s="99" t="str">
        <f t="shared" si="7"/>
        <v/>
      </c>
      <c r="AH10" s="140"/>
      <c r="AI10" s="99" t="str">
        <f t="shared" si="8"/>
        <v/>
      </c>
      <c r="AJ10" s="140"/>
      <c r="AK10" s="28" t="str">
        <f t="shared" si="0"/>
        <v/>
      </c>
      <c r="AL10" s="111" t="str">
        <f t="shared" ref="AL10:AL71" si="11">IF((SUM(Y10,AA10,AC10,AE10,AG10,AI10,AK10)=0),"",(SUM(Y10,AA10,AC10,AE10,AG10,AI10,AK10)))</f>
        <v/>
      </c>
      <c r="AM10" s="111" t="str">
        <f t="shared" si="9"/>
        <v/>
      </c>
      <c r="AN10" s="178"/>
      <c r="AO10" s="178"/>
      <c r="AP10" s="178"/>
      <c r="AQ10" s="178"/>
      <c r="AR10" s="178"/>
      <c r="AS10" s="178"/>
      <c r="AT10" s="178"/>
      <c r="AU10" s="179" t="str">
        <f>IFERROR(VLOOKUP(AT10,'Seguridad Información'!$I$61:$J$65,2,0),"")</f>
        <v/>
      </c>
      <c r="AV10" s="83"/>
      <c r="AW10" s="82" t="str">
        <f t="shared" si="1"/>
        <v/>
      </c>
      <c r="AX10" s="81" t="str">
        <f t="shared" si="2"/>
        <v/>
      </c>
      <c r="AY10" s="22" t="str">
        <f>IFERROR(VLOOKUP((CONCATENATE(AM10,AX10)),Listados!$U$3:$V$11,2,FALSE),"")</f>
        <v/>
      </c>
      <c r="AZ10" s="111">
        <f t="shared" si="10"/>
        <v>100</v>
      </c>
      <c r="BA10" s="717"/>
      <c r="BB10" s="761"/>
      <c r="BC10" s="142">
        <f>+IF(AND(W10="Preventivo",BB7="Fuerte"),2,IF(AND(W10="Preventivo",BB7="Moderado"),1,0))</f>
        <v>0</v>
      </c>
      <c r="BD10" s="68">
        <f>+IF(AND(W10="Detectivo/Correctivo",$BB7="Fuerte"),2,IF(AND(W10="Detectivo/Correctivo",$BB10="Moderado"),1,IF(AND(W10="Preventivo",$BB7="Fuerte"),1,0)))</f>
        <v>0</v>
      </c>
      <c r="BE10" s="142" t="e">
        <f>+N7-BC10</f>
        <v>#N/A</v>
      </c>
      <c r="BF10" s="142" t="e">
        <f>+P7-BD10</f>
        <v>#N/A</v>
      </c>
      <c r="BG10" s="713"/>
      <c r="BH10" s="713"/>
      <c r="BI10" s="713"/>
      <c r="BJ10" s="803"/>
      <c r="BK10" s="803"/>
      <c r="BL10" s="803"/>
      <c r="BM10" s="803"/>
    </row>
    <row r="11" spans="1:16383" ht="65.150000000000006" customHeight="1" thickBot="1">
      <c r="A11" s="724"/>
      <c r="B11" s="727"/>
      <c r="C11" s="730"/>
      <c r="D11" s="116"/>
      <c r="E11" s="116"/>
      <c r="F11" s="814"/>
      <c r="G11" s="817"/>
      <c r="H11" s="105"/>
      <c r="I11" s="161"/>
      <c r="J11" s="105"/>
      <c r="K11" s="29"/>
      <c r="L11" s="150"/>
      <c r="M11" s="727"/>
      <c r="N11" s="720"/>
      <c r="O11" s="810"/>
      <c r="P11" s="720"/>
      <c r="Q11" s="715"/>
      <c r="R11" s="806"/>
      <c r="S11" s="140"/>
      <c r="T11" s="180"/>
      <c r="U11" s="76" t="s">
        <v>467</v>
      </c>
      <c r="V11" s="164"/>
      <c r="W11" s="143"/>
      <c r="X11" s="140"/>
      <c r="Y11" s="99" t="str">
        <f t="shared" si="3"/>
        <v/>
      </c>
      <c r="Z11" s="140"/>
      <c r="AA11" s="99" t="str">
        <f t="shared" si="4"/>
        <v/>
      </c>
      <c r="AB11" s="140"/>
      <c r="AC11" s="99" t="str">
        <f t="shared" si="5"/>
        <v/>
      </c>
      <c r="AD11" s="140"/>
      <c r="AE11" s="99" t="str">
        <f t="shared" si="6"/>
        <v/>
      </c>
      <c r="AF11" s="140"/>
      <c r="AG11" s="99" t="str">
        <f t="shared" si="7"/>
        <v/>
      </c>
      <c r="AH11" s="140"/>
      <c r="AI11" s="99" t="str">
        <f t="shared" si="8"/>
        <v/>
      </c>
      <c r="AJ11" s="140"/>
      <c r="AK11" s="28" t="str">
        <f t="shared" si="0"/>
        <v/>
      </c>
      <c r="AL11" s="111" t="str">
        <f t="shared" si="11"/>
        <v/>
      </c>
      <c r="AM11" s="111" t="str">
        <f t="shared" si="9"/>
        <v/>
      </c>
      <c r="AN11" s="178"/>
      <c r="AO11" s="178"/>
      <c r="AP11" s="178"/>
      <c r="AQ11" s="178"/>
      <c r="AR11" s="178"/>
      <c r="AS11" s="178"/>
      <c r="AT11" s="178"/>
      <c r="AU11" s="179" t="str">
        <f>IFERROR(VLOOKUP(AT11,'Seguridad Información'!$I$61:$J$65,2,0),"")</f>
        <v/>
      </c>
      <c r="AV11" s="83"/>
      <c r="AW11" s="82" t="str">
        <f t="shared" si="1"/>
        <v/>
      </c>
      <c r="AX11" s="81" t="str">
        <f t="shared" si="2"/>
        <v/>
      </c>
      <c r="AY11" s="22" t="str">
        <f>IFERROR(VLOOKUP((CONCATENATE(AM11,AX11)),Listados!$U$3:$V$11,2,FALSE),"")</f>
        <v/>
      </c>
      <c r="AZ11" s="111">
        <f t="shared" si="10"/>
        <v>100</v>
      </c>
      <c r="BA11" s="717"/>
      <c r="BB11" s="761"/>
      <c r="BC11" s="142">
        <f>+IF(AND(W11="Preventivo",BB7="Fuerte"),2,IF(AND(W11="Preventivo",BB7="Moderado"),1,0))</f>
        <v>0</v>
      </c>
      <c r="BD11" s="68">
        <f>+IF(AND(W11="Detectivo/Correctivo",$BB7="Fuerte"),2,IF(AND(W11="Detectivo/Correctivo",$BB11="Moderado"),1,IF(AND(W11="Preventivo",$BB7="Fuerte"),1,0)))</f>
        <v>0</v>
      </c>
      <c r="BE11" s="142" t="e">
        <f>+N7-BC11</f>
        <v>#N/A</v>
      </c>
      <c r="BF11" s="142" t="e">
        <f>+P7-BD11</f>
        <v>#N/A</v>
      </c>
      <c r="BG11" s="713"/>
      <c r="BH11" s="713"/>
      <c r="BI11" s="713"/>
      <c r="BJ11" s="803"/>
      <c r="BK11" s="803"/>
      <c r="BL11" s="803"/>
      <c r="BM11" s="803"/>
    </row>
    <row r="12" spans="1:16383" ht="65.150000000000006" customHeight="1" thickBot="1">
      <c r="A12" s="725"/>
      <c r="B12" s="728"/>
      <c r="C12" s="731"/>
      <c r="D12" s="113"/>
      <c r="E12" s="113"/>
      <c r="F12" s="838"/>
      <c r="G12" s="818"/>
      <c r="H12" s="69"/>
      <c r="I12" s="57"/>
      <c r="J12" s="69"/>
      <c r="K12" s="30"/>
      <c r="L12" s="70"/>
      <c r="M12" s="728"/>
      <c r="N12" s="819"/>
      <c r="O12" s="820"/>
      <c r="P12" s="819"/>
      <c r="Q12" s="824"/>
      <c r="R12" s="807"/>
      <c r="S12" s="73"/>
      <c r="T12" s="102"/>
      <c r="U12" s="77" t="s">
        <v>467</v>
      </c>
      <c r="V12" s="71"/>
      <c r="W12" s="72"/>
      <c r="X12" s="73"/>
      <c r="Y12" s="103" t="str">
        <f t="shared" si="3"/>
        <v/>
      </c>
      <c r="Z12" s="73"/>
      <c r="AA12" s="103" t="str">
        <f t="shared" si="4"/>
        <v/>
      </c>
      <c r="AB12" s="73"/>
      <c r="AC12" s="103" t="str">
        <f t="shared" si="5"/>
        <v/>
      </c>
      <c r="AD12" s="73"/>
      <c r="AE12" s="103" t="str">
        <f t="shared" si="6"/>
        <v/>
      </c>
      <c r="AF12" s="73"/>
      <c r="AG12" s="103" t="str">
        <f t="shared" si="7"/>
        <v/>
      </c>
      <c r="AH12" s="73"/>
      <c r="AI12" s="103" t="str">
        <f t="shared" si="8"/>
        <v/>
      </c>
      <c r="AJ12" s="73"/>
      <c r="AK12" s="74" t="str">
        <f t="shared" si="0"/>
        <v/>
      </c>
      <c r="AL12" s="117" t="str">
        <f t="shared" si="11"/>
        <v/>
      </c>
      <c r="AM12" s="117" t="str">
        <f t="shared" si="9"/>
        <v/>
      </c>
      <c r="AN12" s="178"/>
      <c r="AO12" s="178"/>
      <c r="AP12" s="178"/>
      <c r="AQ12" s="178"/>
      <c r="AR12" s="178"/>
      <c r="AS12" s="178"/>
      <c r="AT12" s="178"/>
      <c r="AU12" s="179" t="str">
        <f>IFERROR(VLOOKUP(AT12,'Seguridad Información'!$I$61:$J$65,2,0),"")</f>
        <v/>
      </c>
      <c r="AV12" s="83"/>
      <c r="AW12" s="82" t="str">
        <f t="shared" si="1"/>
        <v/>
      </c>
      <c r="AX12" s="81" t="str">
        <f t="shared" si="2"/>
        <v/>
      </c>
      <c r="AY12" s="22" t="str">
        <f>IFERROR(VLOOKUP((CONCATENATE(AM12,AX12)),Listados!$U$3:$V$11,2,FALSE),"")</f>
        <v/>
      </c>
      <c r="AZ12" s="117">
        <f t="shared" si="10"/>
        <v>100</v>
      </c>
      <c r="BA12" s="826"/>
      <c r="BB12" s="828"/>
      <c r="BC12" s="75">
        <f>+IF(AND(W12="Preventivo",BB7="Fuerte"),2,IF(AND(W12="Preventivo",BB7="Moderado"),1,0))</f>
        <v>0</v>
      </c>
      <c r="BD12" s="68">
        <f>+IF(AND(W12="Detectivo/Correctivo",$BB7="Fuerte"),2,IF(AND(W12="Detectivo/Correctivo",$BB12="Moderado"),1,IF(AND(W12="Preventivo",$BB7="Fuerte"),1,0)))</f>
        <v>0</v>
      </c>
      <c r="BE12" s="75" t="e">
        <f>+N7-BC12</f>
        <v>#N/A</v>
      </c>
      <c r="BF12" s="75" t="e">
        <f>+P7-BD12</f>
        <v>#N/A</v>
      </c>
      <c r="BG12" s="822"/>
      <c r="BH12" s="822"/>
      <c r="BI12" s="822"/>
      <c r="BJ12" s="804"/>
      <c r="BK12" s="804"/>
      <c r="BL12" s="804"/>
      <c r="BM12" s="804"/>
    </row>
    <row r="13" spans="1:16383" ht="65.150000000000006" customHeight="1" thickBot="1">
      <c r="A13" s="724">
        <v>2</v>
      </c>
      <c r="B13" s="812"/>
      <c r="C13" s="730" t="str">
        <f>IFERROR(VLOOKUP(B13,Listados!B$3:C$20,2,FALSE),"")</f>
        <v/>
      </c>
      <c r="D13" s="112"/>
      <c r="E13" s="112"/>
      <c r="F13" s="814"/>
      <c r="G13" s="815"/>
      <c r="H13" s="56"/>
      <c r="I13" s="56"/>
      <c r="J13" s="56"/>
      <c r="K13" s="59"/>
      <c r="L13" s="60"/>
      <c r="M13" s="762"/>
      <c r="N13" s="720" t="e">
        <f>+VLOOKUP(M13,Listados!$K$8:$L$12,2,0)</f>
        <v>#N/A</v>
      </c>
      <c r="O13" s="809"/>
      <c r="P13" s="720" t="e">
        <f>+VLOOKUP(O13,Listados!$K$13:$L$17,2,0)</f>
        <v>#N/A</v>
      </c>
      <c r="Q13" s="714" t="str">
        <f>IF(AND(M13&lt;&gt;"",O13&lt;&gt;""),VLOOKUP(M13&amp;O13,Listados!$M$3:$N$27,2,FALSE),"")</f>
        <v/>
      </c>
      <c r="R13" s="713" t="e">
        <f>+VLOOKUP(Q13,Listados!$P$3:$Q$6,2,FALSE)</f>
        <v>#N/A</v>
      </c>
      <c r="S13" s="115"/>
      <c r="T13" s="98"/>
      <c r="U13" s="52" t="s">
        <v>467</v>
      </c>
      <c r="V13" s="64"/>
      <c r="W13" s="61"/>
      <c r="X13" s="61"/>
      <c r="Y13" s="99" t="str">
        <f t="shared" si="3"/>
        <v/>
      </c>
      <c r="Z13" s="61"/>
      <c r="AA13" s="99" t="str">
        <f t="shared" si="4"/>
        <v/>
      </c>
      <c r="AB13" s="115"/>
      <c r="AC13" s="99" t="str">
        <f t="shared" si="5"/>
        <v/>
      </c>
      <c r="AD13" s="115"/>
      <c r="AE13" s="99" t="str">
        <f t="shared" si="6"/>
        <v/>
      </c>
      <c r="AF13" s="115"/>
      <c r="AG13" s="99" t="str">
        <f t="shared" si="7"/>
        <v/>
      </c>
      <c r="AH13" s="115"/>
      <c r="AI13" s="99" t="str">
        <f t="shared" si="8"/>
        <v/>
      </c>
      <c r="AJ13" s="115"/>
      <c r="AK13" s="28" t="str">
        <f t="shared" si="0"/>
        <v/>
      </c>
      <c r="AL13" s="111" t="str">
        <f t="shared" si="11"/>
        <v/>
      </c>
      <c r="AM13" s="111" t="str">
        <f t="shared" si="9"/>
        <v/>
      </c>
      <c r="AN13" s="178"/>
      <c r="AO13" s="178"/>
      <c r="AP13" s="178"/>
      <c r="AQ13" s="178"/>
      <c r="AR13" s="178"/>
      <c r="AS13" s="178"/>
      <c r="AT13" s="178"/>
      <c r="AU13" s="179" t="str">
        <f>IFERROR(VLOOKUP(AT13,'Seguridad Información'!$I$61:$J$65,2,0),"")</f>
        <v/>
      </c>
      <c r="AV13" s="83"/>
      <c r="AW13" s="82" t="str">
        <f t="shared" si="1"/>
        <v/>
      </c>
      <c r="AX13" s="81" t="str">
        <f t="shared" si="2"/>
        <v/>
      </c>
      <c r="AY13" s="22" t="str">
        <f>IFERROR(VLOOKUP((CONCATENATE(AM13,AX13)),Listados!$U$3:$V$11,2,FALSE),"")</f>
        <v/>
      </c>
      <c r="AZ13" s="111">
        <f t="shared" si="10"/>
        <v>100</v>
      </c>
      <c r="BA13" s="717">
        <f>AVERAGE(AZ13:AZ18)</f>
        <v>100</v>
      </c>
      <c r="BB13" s="718" t="str">
        <f>IF(BA13&lt;=50, "Débil", IF(BA13&lt;=99,"Moderado","Fuerte"))</f>
        <v>Fuerte</v>
      </c>
      <c r="BC13" s="62">
        <f>+IF(AND(W13="Preventivo",BB13="Fuerte"),2,IF(AND(W13="Preventivo",BB13="Moderado"),1,0))</f>
        <v>0</v>
      </c>
      <c r="BD13" s="68">
        <f>+IF(AND(W13="Detectivo/Correctivo",$BB13="Fuerte"),2,IF(AND(W13="Detectivo/Correctivo",$BB13="Moderado"),1,IF(AND(W13="Preventivo",$BB13="Fuerte"),1,0)))</f>
        <v>0</v>
      </c>
      <c r="BE13" s="62" t="e">
        <f>+N13-BC13</f>
        <v>#N/A</v>
      </c>
      <c r="BF13" s="62" t="e">
        <f>+P13-BD13</f>
        <v>#N/A</v>
      </c>
      <c r="BG13" s="713" t="e">
        <f>+VLOOKUP(MIN(BE13,BE14,BE15,BE16,BE17,BE18),Listados!$J$18:$K$24,2,TRUE)</f>
        <v>#N/A</v>
      </c>
      <c r="BH13" s="713" t="e">
        <f>+VLOOKUP(MIN(BF13,BF14,BF15,BF16,BF17,BF18),Listados!$J$26:$K$32,2,TRUE)</f>
        <v>#N/A</v>
      </c>
      <c r="BI13" s="713" t="e">
        <f>IF(AND(BG13&lt;&gt;"",BH13&lt;&gt;""),VLOOKUP(BG13&amp;BH13,Listados!$M$3:$N$27,2,FALSE),"")</f>
        <v>#N/A</v>
      </c>
      <c r="BJ13" s="802" t="e">
        <f>+IF($R13="Asumir el riesgo","NA","")</f>
        <v>#N/A</v>
      </c>
      <c r="BK13" s="802" t="e">
        <f>+IF($R13="Asumir el riesgo","NA","")</f>
        <v>#N/A</v>
      </c>
      <c r="BL13" s="802" t="e">
        <f>+IF($R13="Asumir el riesgo","NA","")</f>
        <v>#N/A</v>
      </c>
      <c r="BM13" s="802" t="e">
        <f>+IF($R13="Asumir el riesgo","NA","")</f>
        <v>#N/A</v>
      </c>
    </row>
    <row r="14" spans="1:16383" ht="65.150000000000006" customHeight="1" thickBot="1">
      <c r="A14" s="724"/>
      <c r="B14" s="812"/>
      <c r="C14" s="730"/>
      <c r="D14" s="158"/>
      <c r="E14" s="158"/>
      <c r="F14" s="814"/>
      <c r="G14" s="817"/>
      <c r="H14" s="105"/>
      <c r="I14" s="161"/>
      <c r="J14" s="105"/>
      <c r="K14" s="160"/>
      <c r="L14" s="150"/>
      <c r="M14" s="727"/>
      <c r="N14" s="720"/>
      <c r="O14" s="810"/>
      <c r="P14" s="720"/>
      <c r="Q14" s="715"/>
      <c r="R14" s="713"/>
      <c r="S14" s="140"/>
      <c r="T14" s="180"/>
      <c r="U14" s="52" t="s">
        <v>467</v>
      </c>
      <c r="V14" s="164"/>
      <c r="W14" s="145"/>
      <c r="X14" s="145"/>
      <c r="Y14" s="99" t="str">
        <f t="shared" si="3"/>
        <v/>
      </c>
      <c r="Z14" s="145"/>
      <c r="AA14" s="99" t="str">
        <f t="shared" si="4"/>
        <v/>
      </c>
      <c r="AB14" s="140"/>
      <c r="AC14" s="99" t="str">
        <f t="shared" si="5"/>
        <v/>
      </c>
      <c r="AD14" s="140"/>
      <c r="AE14" s="99" t="str">
        <f t="shared" si="6"/>
        <v/>
      </c>
      <c r="AF14" s="140"/>
      <c r="AG14" s="99" t="str">
        <f t="shared" si="7"/>
        <v/>
      </c>
      <c r="AH14" s="140"/>
      <c r="AI14" s="99" t="str">
        <f t="shared" si="8"/>
        <v/>
      </c>
      <c r="AJ14" s="140"/>
      <c r="AK14" s="28" t="str">
        <f t="shared" si="0"/>
        <v/>
      </c>
      <c r="AL14" s="111" t="str">
        <f t="shared" si="11"/>
        <v/>
      </c>
      <c r="AM14" s="111" t="str">
        <f t="shared" si="9"/>
        <v/>
      </c>
      <c r="AN14" s="178"/>
      <c r="AO14" s="178"/>
      <c r="AP14" s="178"/>
      <c r="AQ14" s="178"/>
      <c r="AR14" s="178"/>
      <c r="AS14" s="178"/>
      <c r="AT14" s="178"/>
      <c r="AU14" s="179" t="str">
        <f>IFERROR(VLOOKUP(AT14,'Seguridad Información'!$I$61:$J$65,2,0),"")</f>
        <v/>
      </c>
      <c r="AV14" s="83"/>
      <c r="AW14" s="82" t="str">
        <f t="shared" si="1"/>
        <v/>
      </c>
      <c r="AX14" s="81" t="str">
        <f t="shared" si="2"/>
        <v/>
      </c>
      <c r="AY14" s="22" t="str">
        <f>IFERROR(VLOOKUP((CONCATENATE(AM14,AX14)),Listados!$U$3:$V$11,2,FALSE),"")</f>
        <v/>
      </c>
      <c r="AZ14" s="111">
        <f t="shared" si="10"/>
        <v>100</v>
      </c>
      <c r="BA14" s="717"/>
      <c r="BB14" s="761"/>
      <c r="BC14" s="142">
        <f>+IF(AND(W14="Preventivo",BB13="Fuerte"),2,IF(AND(W14="Preventivo",BB13="Moderado"),1,0))</f>
        <v>0</v>
      </c>
      <c r="BD14" s="68">
        <f>+IF(AND(W14="Detectivo/Correctivo",$BB13="Fuerte"),2,IF(AND(W14="Detectivo/Correctivo",$BB14="Moderado"),1,IF(AND(W14="Preventivo",$BB13="Fuerte"),1,0)))</f>
        <v>0</v>
      </c>
      <c r="BE14" s="142" t="e">
        <f>+N13-BC14</f>
        <v>#N/A</v>
      </c>
      <c r="BF14" s="142" t="e">
        <f>+P13-BD14</f>
        <v>#N/A</v>
      </c>
      <c r="BG14" s="713"/>
      <c r="BH14" s="713"/>
      <c r="BI14" s="713"/>
      <c r="BJ14" s="803"/>
      <c r="BK14" s="803"/>
      <c r="BL14" s="803"/>
      <c r="BM14" s="803"/>
    </row>
    <row r="15" spans="1:16383" ht="65.150000000000006" customHeight="1" thickBot="1">
      <c r="A15" s="724"/>
      <c r="B15" s="812"/>
      <c r="C15" s="730"/>
      <c r="D15" s="158"/>
      <c r="E15" s="158"/>
      <c r="F15" s="814"/>
      <c r="G15" s="817"/>
      <c r="H15" s="105"/>
      <c r="I15" s="161"/>
      <c r="J15" s="105"/>
      <c r="K15" s="160"/>
      <c r="L15" s="150"/>
      <c r="M15" s="727"/>
      <c r="N15" s="720"/>
      <c r="O15" s="810"/>
      <c r="P15" s="720"/>
      <c r="Q15" s="715"/>
      <c r="R15" s="713"/>
      <c r="S15" s="140"/>
      <c r="T15" s="100"/>
      <c r="U15" s="52" t="s">
        <v>467</v>
      </c>
      <c r="V15" s="164"/>
      <c r="W15" s="145"/>
      <c r="X15" s="145"/>
      <c r="Y15" s="99" t="str">
        <f t="shared" si="3"/>
        <v/>
      </c>
      <c r="Z15" s="145"/>
      <c r="AA15" s="99" t="str">
        <f t="shared" si="4"/>
        <v/>
      </c>
      <c r="AB15" s="140"/>
      <c r="AC15" s="99" t="str">
        <f t="shared" si="5"/>
        <v/>
      </c>
      <c r="AD15" s="140"/>
      <c r="AE15" s="99" t="str">
        <f t="shared" si="6"/>
        <v/>
      </c>
      <c r="AF15" s="140"/>
      <c r="AG15" s="99" t="str">
        <f t="shared" si="7"/>
        <v/>
      </c>
      <c r="AH15" s="140"/>
      <c r="AI15" s="99" t="str">
        <f t="shared" si="8"/>
        <v/>
      </c>
      <c r="AJ15" s="140"/>
      <c r="AK15" s="28" t="str">
        <f t="shared" si="0"/>
        <v/>
      </c>
      <c r="AL15" s="111" t="str">
        <f t="shared" si="11"/>
        <v/>
      </c>
      <c r="AM15" s="111" t="str">
        <f t="shared" si="9"/>
        <v/>
      </c>
      <c r="AN15" s="178"/>
      <c r="AO15" s="178"/>
      <c r="AP15" s="178"/>
      <c r="AQ15" s="178"/>
      <c r="AR15" s="178"/>
      <c r="AS15" s="178"/>
      <c r="AT15" s="178"/>
      <c r="AU15" s="179" t="str">
        <f>IFERROR(VLOOKUP(AT15,'Seguridad Información'!$I$61:$J$65,2,0),"")</f>
        <v/>
      </c>
      <c r="AV15" s="83"/>
      <c r="AW15" s="82" t="str">
        <f t="shared" si="1"/>
        <v/>
      </c>
      <c r="AX15" s="81" t="str">
        <f t="shared" si="2"/>
        <v/>
      </c>
      <c r="AY15" s="22" t="str">
        <f>IFERROR(VLOOKUP((CONCATENATE(AM15,AX15)),Listados!$U$3:$V$11,2,FALSE),"")</f>
        <v/>
      </c>
      <c r="AZ15" s="111">
        <f t="shared" si="10"/>
        <v>100</v>
      </c>
      <c r="BA15" s="717"/>
      <c r="BB15" s="761"/>
      <c r="BC15" s="142">
        <f>+IF(AND(W15="Preventivo",BB13="Fuerte"),2,IF(AND(W15="Preventivo",BB13="Moderado"),1,0))</f>
        <v>0</v>
      </c>
      <c r="BD15" s="68">
        <f>+IF(AND(W15="Detectivo/Correctivo",$BB13="Fuerte"),2,IF(AND(W15="Detectivo/Correctivo",$BB15="Moderado"),1,IF(AND(W15="Preventivo",$BB13="Fuerte"),1,0)))</f>
        <v>0</v>
      </c>
      <c r="BE15" s="142" t="e">
        <f>+N13-BC15</f>
        <v>#N/A</v>
      </c>
      <c r="BF15" s="142" t="e">
        <f>+P13-BD15</f>
        <v>#N/A</v>
      </c>
      <c r="BG15" s="713"/>
      <c r="BH15" s="713"/>
      <c r="BI15" s="713"/>
      <c r="BJ15" s="803"/>
      <c r="BK15" s="803"/>
      <c r="BL15" s="803"/>
      <c r="BM15" s="803"/>
    </row>
    <row r="16" spans="1:16383" ht="65.150000000000006" customHeight="1" thickBot="1">
      <c r="A16" s="724"/>
      <c r="B16" s="812"/>
      <c r="C16" s="730"/>
      <c r="D16" s="158"/>
      <c r="E16" s="158"/>
      <c r="F16" s="814"/>
      <c r="G16" s="817"/>
      <c r="H16" s="105"/>
      <c r="I16" s="161"/>
      <c r="J16" s="105"/>
      <c r="K16" s="160"/>
      <c r="L16" s="150"/>
      <c r="M16" s="727"/>
      <c r="N16" s="720"/>
      <c r="O16" s="810"/>
      <c r="P16" s="720"/>
      <c r="Q16" s="715"/>
      <c r="R16" s="713"/>
      <c r="S16" s="140"/>
      <c r="T16" s="140"/>
      <c r="U16" s="52" t="s">
        <v>467</v>
      </c>
      <c r="V16" s="164"/>
      <c r="W16" s="145"/>
      <c r="X16" s="145"/>
      <c r="Y16" s="99" t="str">
        <f t="shared" si="3"/>
        <v/>
      </c>
      <c r="Z16" s="145"/>
      <c r="AA16" s="99" t="str">
        <f t="shared" si="4"/>
        <v/>
      </c>
      <c r="AB16" s="140"/>
      <c r="AC16" s="99" t="str">
        <f t="shared" si="5"/>
        <v/>
      </c>
      <c r="AD16" s="140"/>
      <c r="AE16" s="99" t="str">
        <f t="shared" si="6"/>
        <v/>
      </c>
      <c r="AF16" s="140"/>
      <c r="AG16" s="99" t="str">
        <f t="shared" si="7"/>
        <v/>
      </c>
      <c r="AH16" s="140"/>
      <c r="AI16" s="99" t="str">
        <f t="shared" si="8"/>
        <v/>
      </c>
      <c r="AJ16" s="140"/>
      <c r="AK16" s="28" t="str">
        <f t="shared" si="0"/>
        <v/>
      </c>
      <c r="AL16" s="111" t="str">
        <f t="shared" si="11"/>
        <v/>
      </c>
      <c r="AM16" s="111" t="str">
        <f t="shared" si="9"/>
        <v/>
      </c>
      <c r="AN16" s="178"/>
      <c r="AO16" s="178"/>
      <c r="AP16" s="178"/>
      <c r="AQ16" s="178"/>
      <c r="AR16" s="178"/>
      <c r="AS16" s="178"/>
      <c r="AT16" s="178"/>
      <c r="AU16" s="179" t="str">
        <f>IFERROR(VLOOKUP(AT16,'Seguridad Información'!$I$61:$J$65,2,0),"")</f>
        <v/>
      </c>
      <c r="AV16" s="83"/>
      <c r="AW16" s="82" t="str">
        <f t="shared" si="1"/>
        <v/>
      </c>
      <c r="AX16" s="81" t="str">
        <f t="shared" si="2"/>
        <v/>
      </c>
      <c r="AY16" s="22" t="str">
        <f>IFERROR(VLOOKUP((CONCATENATE(AM16,AX16)),Listados!$U$3:$V$11,2,FALSE),"")</f>
        <v/>
      </c>
      <c r="AZ16" s="111">
        <f t="shared" si="10"/>
        <v>100</v>
      </c>
      <c r="BA16" s="717"/>
      <c r="BB16" s="761"/>
      <c r="BC16" s="142">
        <f>+IF(AND(W16="Preventivo",BB13="Fuerte"),2,IF(AND(W16="Preventivo",BB13="Moderado"),1,0))</f>
        <v>0</v>
      </c>
      <c r="BD16" s="68">
        <f>+IF(AND(W16="Detectivo/Correctivo",$BB13="Fuerte"),2,IF(AND(W16="Detectivo/Correctivo",$BB16="Moderado"),1,IF(AND(W16="Preventivo",$BB13="Fuerte"),1,0)))</f>
        <v>0</v>
      </c>
      <c r="BE16" s="142" t="e">
        <f>+N13-BC16</f>
        <v>#N/A</v>
      </c>
      <c r="BF16" s="142" t="e">
        <f>+P13-BD16</f>
        <v>#N/A</v>
      </c>
      <c r="BG16" s="713"/>
      <c r="BH16" s="713"/>
      <c r="BI16" s="713"/>
      <c r="BJ16" s="803"/>
      <c r="BK16" s="803"/>
      <c r="BL16" s="803"/>
      <c r="BM16" s="803"/>
    </row>
    <row r="17" spans="1:65" ht="65.150000000000006" customHeight="1" thickBot="1">
      <c r="A17" s="724"/>
      <c r="B17" s="812"/>
      <c r="C17" s="730"/>
      <c r="D17" s="116"/>
      <c r="E17" s="116"/>
      <c r="F17" s="814"/>
      <c r="G17" s="817"/>
      <c r="H17" s="105"/>
      <c r="I17" s="161"/>
      <c r="J17" s="105"/>
      <c r="K17" s="29"/>
      <c r="L17" s="150"/>
      <c r="M17" s="727"/>
      <c r="N17" s="720"/>
      <c r="O17" s="810"/>
      <c r="P17" s="720"/>
      <c r="Q17" s="715"/>
      <c r="R17" s="713"/>
      <c r="S17" s="140"/>
      <c r="T17" s="180"/>
      <c r="U17" s="52" t="s">
        <v>467</v>
      </c>
      <c r="V17" s="164"/>
      <c r="W17" s="145"/>
      <c r="X17" s="145"/>
      <c r="Y17" s="99" t="str">
        <f t="shared" si="3"/>
        <v/>
      </c>
      <c r="Z17" s="145"/>
      <c r="AA17" s="99" t="str">
        <f t="shared" si="4"/>
        <v/>
      </c>
      <c r="AB17" s="140"/>
      <c r="AC17" s="99" t="str">
        <f t="shared" si="5"/>
        <v/>
      </c>
      <c r="AD17" s="140"/>
      <c r="AE17" s="99" t="str">
        <f t="shared" si="6"/>
        <v/>
      </c>
      <c r="AF17" s="140"/>
      <c r="AG17" s="99" t="str">
        <f t="shared" si="7"/>
        <v/>
      </c>
      <c r="AH17" s="140"/>
      <c r="AI17" s="99" t="str">
        <f t="shared" si="8"/>
        <v/>
      </c>
      <c r="AJ17" s="140"/>
      <c r="AK17" s="28" t="str">
        <f t="shared" si="0"/>
        <v/>
      </c>
      <c r="AL17" s="111" t="str">
        <f t="shared" si="11"/>
        <v/>
      </c>
      <c r="AM17" s="111" t="str">
        <f t="shared" si="9"/>
        <v/>
      </c>
      <c r="AN17" s="178"/>
      <c r="AO17" s="178"/>
      <c r="AP17" s="178"/>
      <c r="AQ17" s="178"/>
      <c r="AR17" s="178"/>
      <c r="AS17" s="178"/>
      <c r="AT17" s="178"/>
      <c r="AU17" s="179" t="str">
        <f>IFERROR(VLOOKUP(AT17,'Seguridad Información'!$I$61:$J$65,2,0),"")</f>
        <v/>
      </c>
      <c r="AV17" s="83"/>
      <c r="AW17" s="82" t="str">
        <f t="shared" si="1"/>
        <v/>
      </c>
      <c r="AX17" s="81" t="str">
        <f t="shared" si="2"/>
        <v/>
      </c>
      <c r="AY17" s="22" t="str">
        <f>IFERROR(VLOOKUP((CONCATENATE(AM17,AX17)),Listados!$U$3:$V$11,2,FALSE),"")</f>
        <v/>
      </c>
      <c r="AZ17" s="111">
        <f t="shared" si="10"/>
        <v>100</v>
      </c>
      <c r="BA17" s="717"/>
      <c r="BB17" s="761"/>
      <c r="BC17" s="142">
        <f>+IF(AND(W17="Preventivo",BB13="Fuerte"),2,IF(AND(W17="Preventivo",BB13="Moderado"),1,0))</f>
        <v>0</v>
      </c>
      <c r="BD17" s="68">
        <f>+IF(AND(W17="Detectivo/Correctivo",$BB13="Fuerte"),2,IF(AND(W17="Detectivo/Correctivo",$BB17="Moderado"),1,IF(AND(W17="Preventivo",$BB13="Fuerte"),1,0)))</f>
        <v>0</v>
      </c>
      <c r="BE17" s="142" t="e">
        <f>+N13-BC17</f>
        <v>#N/A</v>
      </c>
      <c r="BF17" s="142" t="e">
        <f>+P13-BD17</f>
        <v>#N/A</v>
      </c>
      <c r="BG17" s="713"/>
      <c r="BH17" s="713"/>
      <c r="BI17" s="713"/>
      <c r="BJ17" s="803"/>
      <c r="BK17" s="803"/>
      <c r="BL17" s="803"/>
      <c r="BM17" s="803"/>
    </row>
    <row r="18" spans="1:65" ht="65.150000000000006" customHeight="1" thickBot="1">
      <c r="A18" s="725"/>
      <c r="B18" s="812"/>
      <c r="C18" s="731"/>
      <c r="D18" s="113"/>
      <c r="E18" s="113"/>
      <c r="F18" s="815"/>
      <c r="G18" s="817"/>
      <c r="H18" s="105"/>
      <c r="I18" s="161"/>
      <c r="J18" s="105"/>
      <c r="K18" s="30"/>
      <c r="L18" s="150"/>
      <c r="M18" s="728"/>
      <c r="N18" s="819"/>
      <c r="O18" s="820"/>
      <c r="P18" s="819"/>
      <c r="Q18" s="824"/>
      <c r="R18" s="714"/>
      <c r="S18" s="73"/>
      <c r="T18" s="102"/>
      <c r="U18" s="52" t="s">
        <v>467</v>
      </c>
      <c r="V18" s="71"/>
      <c r="W18" s="145"/>
      <c r="X18" s="145"/>
      <c r="Y18" s="99" t="str">
        <f t="shared" si="3"/>
        <v/>
      </c>
      <c r="Z18" s="145"/>
      <c r="AA18" s="99" t="str">
        <f t="shared" si="4"/>
        <v/>
      </c>
      <c r="AB18" s="140"/>
      <c r="AC18" s="99" t="str">
        <f t="shared" si="5"/>
        <v/>
      </c>
      <c r="AD18" s="140"/>
      <c r="AE18" s="99" t="str">
        <f t="shared" si="6"/>
        <v/>
      </c>
      <c r="AF18" s="140"/>
      <c r="AG18" s="99" t="str">
        <f t="shared" si="7"/>
        <v/>
      </c>
      <c r="AH18" s="140"/>
      <c r="AI18" s="99" t="str">
        <f t="shared" si="8"/>
        <v/>
      </c>
      <c r="AJ18" s="140"/>
      <c r="AK18" s="28" t="str">
        <f t="shared" si="0"/>
        <v/>
      </c>
      <c r="AL18" s="111" t="str">
        <f t="shared" si="11"/>
        <v/>
      </c>
      <c r="AM18" s="111" t="str">
        <f t="shared" si="9"/>
        <v/>
      </c>
      <c r="AN18" s="178"/>
      <c r="AO18" s="178"/>
      <c r="AP18" s="178"/>
      <c r="AQ18" s="178"/>
      <c r="AR18" s="178"/>
      <c r="AS18" s="178"/>
      <c r="AT18" s="178"/>
      <c r="AU18" s="179" t="str">
        <f>IFERROR(VLOOKUP(AT18,'Seguridad Información'!$I$61:$J$65,2,0),"")</f>
        <v/>
      </c>
      <c r="AV18" s="83"/>
      <c r="AW18" s="82" t="str">
        <f t="shared" si="1"/>
        <v/>
      </c>
      <c r="AX18" s="81" t="str">
        <f t="shared" si="2"/>
        <v/>
      </c>
      <c r="AY18" s="22" t="str">
        <f>IFERROR(VLOOKUP((CONCATENATE(AM18,AX18)),Listados!$U$3:$V$11,2,FALSE),"")</f>
        <v/>
      </c>
      <c r="AZ18" s="111">
        <f t="shared" si="10"/>
        <v>100</v>
      </c>
      <c r="BA18" s="718"/>
      <c r="BB18" s="761"/>
      <c r="BC18" s="142">
        <f>+IF(AND(W18="Preventivo",BB13="Fuerte"),2,IF(AND(W18="Preventivo",BB13="Moderado"),1,0))</f>
        <v>0</v>
      </c>
      <c r="BD18" s="68">
        <f>+IF(AND(W18="Detectivo/Correctivo",$BB13="Fuerte"),2,IF(AND(W18="Detectivo/Correctivo",$BB18="Moderado"),1,IF(AND(W18="Preventivo",$BB13="Fuerte"),1,0)))</f>
        <v>0</v>
      </c>
      <c r="BE18" s="142" t="e">
        <f>+N13-BC18</f>
        <v>#N/A</v>
      </c>
      <c r="BF18" s="142" t="e">
        <f>+P13-BD18</f>
        <v>#N/A</v>
      </c>
      <c r="BG18" s="714"/>
      <c r="BH18" s="714"/>
      <c r="BI18" s="714"/>
      <c r="BJ18" s="804"/>
      <c r="BK18" s="804"/>
      <c r="BL18" s="804"/>
      <c r="BM18" s="804"/>
    </row>
    <row r="19" spans="1:65" ht="65.150000000000006" customHeight="1" thickBot="1">
      <c r="A19" s="723">
        <v>3</v>
      </c>
      <c r="B19" s="811"/>
      <c r="C19" s="729" t="str">
        <f>IFERROR(VLOOKUP(B19,Listados!B$3:C$20,2,FALSE),"")</f>
        <v/>
      </c>
      <c r="D19" s="114"/>
      <c r="E19" s="114"/>
      <c r="F19" s="813"/>
      <c r="G19" s="735"/>
      <c r="H19" s="105"/>
      <c r="I19" s="161"/>
      <c r="J19" s="105"/>
      <c r="K19" s="109"/>
      <c r="L19" s="18"/>
      <c r="M19" s="762"/>
      <c r="N19" s="720" t="e">
        <f>+VLOOKUP(M19,Listados!$K$8:$L$12,2,0)</f>
        <v>#N/A</v>
      </c>
      <c r="O19" s="809"/>
      <c r="P19" s="720" t="e">
        <f>+VLOOKUP(O19,Listados!$K$13:$L$17,2,0)</f>
        <v>#N/A</v>
      </c>
      <c r="Q19" s="714" t="str">
        <f>IF(AND(M19&lt;&gt;"",O19&lt;&gt;""),VLOOKUP(M19&amp;O19,Listados!$M$3:$N$27,2,FALSE),"")</f>
        <v/>
      </c>
      <c r="R19" s="712" t="e">
        <f>+VLOOKUP(Q19,Listados!$P$3:$Q$6,2,FALSE)</f>
        <v>#N/A</v>
      </c>
      <c r="S19" s="115"/>
      <c r="T19" s="98"/>
      <c r="U19" s="52" t="s">
        <v>467</v>
      </c>
      <c r="V19" s="64"/>
      <c r="W19" s="145" t="s">
        <v>20</v>
      </c>
      <c r="X19" s="145" t="s">
        <v>606</v>
      </c>
      <c r="Y19" s="99" t="str">
        <f t="shared" si="3"/>
        <v/>
      </c>
      <c r="Z19" s="145" t="s">
        <v>606</v>
      </c>
      <c r="AA19" s="99" t="str">
        <f t="shared" si="4"/>
        <v/>
      </c>
      <c r="AB19" s="140" t="s">
        <v>606</v>
      </c>
      <c r="AC19" s="99" t="str">
        <f t="shared" si="5"/>
        <v/>
      </c>
      <c r="AD19" s="140" t="s">
        <v>606</v>
      </c>
      <c r="AE19" s="99" t="str">
        <f t="shared" si="6"/>
        <v/>
      </c>
      <c r="AF19" s="140" t="s">
        <v>606</v>
      </c>
      <c r="AG19" s="99" t="str">
        <f t="shared" si="7"/>
        <v/>
      </c>
      <c r="AH19" s="140" t="s">
        <v>606</v>
      </c>
      <c r="AI19" s="99" t="str">
        <f t="shared" si="8"/>
        <v/>
      </c>
      <c r="AJ19" s="140" t="s">
        <v>607</v>
      </c>
      <c r="AK19" s="28">
        <f t="shared" si="0"/>
        <v>5</v>
      </c>
      <c r="AL19" s="111">
        <f t="shared" si="11"/>
        <v>5</v>
      </c>
      <c r="AM19" s="111" t="str">
        <f t="shared" si="9"/>
        <v>Débil</v>
      </c>
      <c r="AN19" s="178"/>
      <c r="AO19" s="178"/>
      <c r="AP19" s="178"/>
      <c r="AQ19" s="178"/>
      <c r="AR19" s="178"/>
      <c r="AS19" s="178"/>
      <c r="AT19" s="178"/>
      <c r="AU19" s="179" t="str">
        <f>IFERROR(VLOOKUP(AT19,'Seguridad Información'!$I$61:$J$65,2,0),"")</f>
        <v/>
      </c>
      <c r="AV19" s="83"/>
      <c r="AW19" s="82" t="str">
        <f t="shared" si="1"/>
        <v/>
      </c>
      <c r="AX19" s="81" t="str">
        <f t="shared" si="2"/>
        <v/>
      </c>
      <c r="AY19" s="22" t="str">
        <f>IFERROR(VLOOKUP((CONCATENATE(AM19,AX19)),Listados!$U$3:$V$11,2,FALSE),"")</f>
        <v/>
      </c>
      <c r="AZ19" s="111">
        <f t="shared" si="10"/>
        <v>100</v>
      </c>
      <c r="BA19" s="716">
        <f>AVERAGE(AZ19:AZ24)</f>
        <v>100</v>
      </c>
      <c r="BB19" s="718" t="str">
        <f>IF(BA19&lt;=50, "Débil", IF(BA19&lt;=99,"Moderado","Fuerte"))</f>
        <v>Fuerte</v>
      </c>
      <c r="BC19" s="142">
        <f>+IF(AND(W19="Preventivo",BB19="Fuerte"),2,IF(AND(W19="Preventivo",BB19="Moderado"),1,0))</f>
        <v>2</v>
      </c>
      <c r="BD19" s="68">
        <f>+IF(AND(W19="Detectivo/Correctivo",$BB19="Fuerte"),2,IF(AND(W19="Detectivo/Correctivo",$BB19="Moderado"),1,IF(AND(W19="Preventivo",$BB19="Fuerte"),1,0)))</f>
        <v>1</v>
      </c>
      <c r="BE19" s="142" t="e">
        <f>+N19-BC19</f>
        <v>#N/A</v>
      </c>
      <c r="BF19" s="142" t="e">
        <f>+P19-BD19</f>
        <v>#N/A</v>
      </c>
      <c r="BG19" s="712" t="e">
        <f>+VLOOKUP(MIN(BE19,BE20,BE21,BE22,BE23,BE24),Listados!$J$18:$K$24,2,TRUE)</f>
        <v>#N/A</v>
      </c>
      <c r="BH19" s="712" t="e">
        <f>+VLOOKUP(MIN(BF19,BF20,BF21,BF22,BF23,BF24),Listados!$J$26:$K$32,2,TRUE)</f>
        <v>#N/A</v>
      </c>
      <c r="BI19" s="712" t="e">
        <f>IF(AND(BG19&lt;&gt;"",BH19&lt;&gt;""),VLOOKUP(BG19&amp;BH19,Listados!$M$3:$N$27,2,FALSE),"")</f>
        <v>#N/A</v>
      </c>
      <c r="BJ19" s="802" t="e">
        <f>+IF($R19="Asumir el riesgo","NA","")</f>
        <v>#N/A</v>
      </c>
      <c r="BK19" s="802" t="e">
        <f>+IF($R19="Asumir el riesgo","NA","")</f>
        <v>#N/A</v>
      </c>
      <c r="BL19" s="802" t="e">
        <f>+IF($R19="Asumir el riesgo","NA","")</f>
        <v>#N/A</v>
      </c>
      <c r="BM19" s="802" t="e">
        <f>+IF($R19="Asumir el riesgo","NA","")</f>
        <v>#N/A</v>
      </c>
    </row>
    <row r="20" spans="1:65" ht="65.150000000000006" customHeight="1" thickBot="1">
      <c r="A20" s="724"/>
      <c r="B20" s="812"/>
      <c r="C20" s="730"/>
      <c r="D20" s="158"/>
      <c r="E20" s="158"/>
      <c r="F20" s="814"/>
      <c r="G20" s="736"/>
      <c r="H20" s="105"/>
      <c r="I20" s="161"/>
      <c r="J20" s="105"/>
      <c r="K20" s="160"/>
      <c r="L20" s="150"/>
      <c r="M20" s="727"/>
      <c r="N20" s="720"/>
      <c r="O20" s="810"/>
      <c r="P20" s="720"/>
      <c r="Q20" s="715"/>
      <c r="R20" s="713"/>
      <c r="S20" s="140"/>
      <c r="T20" s="180"/>
      <c r="U20" s="52" t="s">
        <v>467</v>
      </c>
      <c r="V20" s="164"/>
      <c r="W20" s="145" t="s">
        <v>127</v>
      </c>
      <c r="X20" s="145" t="s">
        <v>116</v>
      </c>
      <c r="Y20" s="99">
        <f t="shared" si="3"/>
        <v>15</v>
      </c>
      <c r="Z20" s="145" t="s">
        <v>257</v>
      </c>
      <c r="AA20" s="99">
        <f t="shared" si="4"/>
        <v>15</v>
      </c>
      <c r="AB20" s="140" t="s">
        <v>257</v>
      </c>
      <c r="AC20" s="99">
        <f t="shared" si="5"/>
        <v>15</v>
      </c>
      <c r="AD20" s="140" t="s">
        <v>257</v>
      </c>
      <c r="AE20" s="99">
        <f t="shared" si="6"/>
        <v>15</v>
      </c>
      <c r="AF20" s="140" t="s">
        <v>257</v>
      </c>
      <c r="AG20" s="99">
        <f t="shared" si="7"/>
        <v>15</v>
      </c>
      <c r="AH20" s="140" t="s">
        <v>257</v>
      </c>
      <c r="AI20" s="99">
        <f t="shared" si="8"/>
        <v>15</v>
      </c>
      <c r="AJ20" s="140" t="s">
        <v>117</v>
      </c>
      <c r="AK20" s="28">
        <f t="shared" si="0"/>
        <v>10</v>
      </c>
      <c r="AL20" s="111">
        <f t="shared" si="11"/>
        <v>100</v>
      </c>
      <c r="AM20" s="111" t="str">
        <f t="shared" si="9"/>
        <v>Fuerte</v>
      </c>
      <c r="AN20" s="178"/>
      <c r="AO20" s="178"/>
      <c r="AP20" s="178"/>
      <c r="AQ20" s="178"/>
      <c r="AR20" s="178"/>
      <c r="AS20" s="178"/>
      <c r="AT20" s="178"/>
      <c r="AU20" s="179" t="str">
        <f>IFERROR(VLOOKUP(AT20,'Seguridad Información'!$I$61:$J$65,2,0),"")</f>
        <v/>
      </c>
      <c r="AV20" s="83"/>
      <c r="AW20" s="82" t="str">
        <f t="shared" si="1"/>
        <v/>
      </c>
      <c r="AX20" s="81" t="str">
        <f t="shared" si="2"/>
        <v/>
      </c>
      <c r="AY20" s="22" t="str">
        <f>IFERROR(VLOOKUP((CONCATENATE(AM20,AX20)),Listados!$U$3:$V$11,2,FALSE),"")</f>
        <v/>
      </c>
      <c r="AZ20" s="111">
        <f t="shared" si="10"/>
        <v>100</v>
      </c>
      <c r="BA20" s="717"/>
      <c r="BB20" s="761"/>
      <c r="BC20" s="142">
        <f>+IF(AND(W20="Preventivo",BB19="Fuerte"),2,IF(AND(W20="Preventivo",BB19="Moderado"),1,0))</f>
        <v>0</v>
      </c>
      <c r="BD20" s="68">
        <f>+IF(AND(W20="Detectivo/Correctivo",$BB19="Fuerte"),2,IF(AND(W20="Detectivo/Correctivo",$BB20="Moderado"),1,IF(AND(W20="Preventivo",$BB19="Fuerte"),1,0)))</f>
        <v>2</v>
      </c>
      <c r="BE20" s="142" t="e">
        <f>+N19-BC20</f>
        <v>#N/A</v>
      </c>
      <c r="BF20" s="142" t="e">
        <f>+P19-BD20</f>
        <v>#N/A</v>
      </c>
      <c r="BG20" s="713"/>
      <c r="BH20" s="713"/>
      <c r="BI20" s="713"/>
      <c r="BJ20" s="803"/>
      <c r="BK20" s="803"/>
      <c r="BL20" s="803"/>
      <c r="BM20" s="803"/>
    </row>
    <row r="21" spans="1:65" ht="65.150000000000006" customHeight="1" thickBot="1">
      <c r="A21" s="724"/>
      <c r="B21" s="812"/>
      <c r="C21" s="730"/>
      <c r="D21" s="158"/>
      <c r="E21" s="158"/>
      <c r="F21" s="814"/>
      <c r="G21" s="736"/>
      <c r="H21" s="105"/>
      <c r="I21" s="161"/>
      <c r="J21" s="105"/>
      <c r="K21" s="160"/>
      <c r="L21" s="150"/>
      <c r="M21" s="727"/>
      <c r="N21" s="720"/>
      <c r="O21" s="810"/>
      <c r="P21" s="720"/>
      <c r="Q21" s="715"/>
      <c r="R21" s="713"/>
      <c r="S21" s="140"/>
      <c r="T21" s="100"/>
      <c r="U21" s="52" t="s">
        <v>467</v>
      </c>
      <c r="V21" s="164"/>
      <c r="W21" s="145"/>
      <c r="X21" s="145"/>
      <c r="Y21" s="99" t="str">
        <f t="shared" si="3"/>
        <v/>
      </c>
      <c r="Z21" s="145"/>
      <c r="AA21" s="99" t="str">
        <f t="shared" si="4"/>
        <v/>
      </c>
      <c r="AB21" s="140"/>
      <c r="AC21" s="99" t="str">
        <f t="shared" si="5"/>
        <v/>
      </c>
      <c r="AD21" s="140"/>
      <c r="AE21" s="99" t="str">
        <f t="shared" si="6"/>
        <v/>
      </c>
      <c r="AF21" s="140"/>
      <c r="AG21" s="99" t="str">
        <f t="shared" si="7"/>
        <v/>
      </c>
      <c r="AH21" s="140"/>
      <c r="AI21" s="99" t="str">
        <f t="shared" si="8"/>
        <v/>
      </c>
      <c r="AJ21" s="140"/>
      <c r="AK21" s="28" t="str">
        <f t="shared" si="0"/>
        <v/>
      </c>
      <c r="AL21" s="111" t="str">
        <f t="shared" si="11"/>
        <v/>
      </c>
      <c r="AM21" s="111" t="str">
        <f t="shared" si="9"/>
        <v/>
      </c>
      <c r="AN21" s="178"/>
      <c r="AO21" s="178"/>
      <c r="AP21" s="178"/>
      <c r="AQ21" s="178"/>
      <c r="AR21" s="178"/>
      <c r="AS21" s="178"/>
      <c r="AT21" s="178"/>
      <c r="AU21" s="179" t="str">
        <f>IFERROR(VLOOKUP(AT21,'Seguridad Información'!$I$61:$J$65,2,0),"")</f>
        <v/>
      </c>
      <c r="AV21" s="83"/>
      <c r="AW21" s="82" t="str">
        <f t="shared" si="1"/>
        <v/>
      </c>
      <c r="AX21" s="81" t="str">
        <f t="shared" si="2"/>
        <v/>
      </c>
      <c r="AY21" s="22" t="str">
        <f>IFERROR(VLOOKUP((CONCATENATE(AM21,AX21)),Listados!$U$3:$V$11,2,FALSE),"")</f>
        <v/>
      </c>
      <c r="AZ21" s="111">
        <f t="shared" si="10"/>
        <v>100</v>
      </c>
      <c r="BA21" s="717"/>
      <c r="BB21" s="761"/>
      <c r="BC21" s="142">
        <f>+IF(AND(W21="Preventivo",BB19="Fuerte"),2,IF(AND(W21="Preventivo",BB19="Moderado"),1,0))</f>
        <v>0</v>
      </c>
      <c r="BD21" s="68">
        <f>+IF(AND(W21="Detectivo/Correctivo",$BB19="Fuerte"),2,IF(AND(W21="Detectivo/Correctivo",$BB21="Moderado"),1,IF(AND(W21="Preventivo",$BB19="Fuerte"),1,0)))</f>
        <v>0</v>
      </c>
      <c r="BE21" s="142" t="e">
        <f>+N19-BC21</f>
        <v>#N/A</v>
      </c>
      <c r="BF21" s="142" t="e">
        <f>+P19-BD21</f>
        <v>#N/A</v>
      </c>
      <c r="BG21" s="713"/>
      <c r="BH21" s="713"/>
      <c r="BI21" s="713"/>
      <c r="BJ21" s="803"/>
      <c r="BK21" s="803"/>
      <c r="BL21" s="803"/>
      <c r="BM21" s="803"/>
    </row>
    <row r="22" spans="1:65" ht="65.150000000000006" customHeight="1" thickBot="1">
      <c r="A22" s="724"/>
      <c r="B22" s="812"/>
      <c r="C22" s="730"/>
      <c r="D22" s="158"/>
      <c r="E22" s="158"/>
      <c r="F22" s="814"/>
      <c r="G22" s="736"/>
      <c r="H22" s="105"/>
      <c r="I22" s="161"/>
      <c r="J22" s="105"/>
      <c r="K22" s="160"/>
      <c r="L22" s="150"/>
      <c r="M22" s="727"/>
      <c r="N22" s="720"/>
      <c r="O22" s="810"/>
      <c r="P22" s="720"/>
      <c r="Q22" s="715"/>
      <c r="R22" s="713"/>
      <c r="S22" s="140"/>
      <c r="T22" s="101"/>
      <c r="U22" s="52" t="s">
        <v>467</v>
      </c>
      <c r="V22" s="164"/>
      <c r="W22" s="145"/>
      <c r="X22" s="145"/>
      <c r="Y22" s="99" t="str">
        <f t="shared" si="3"/>
        <v/>
      </c>
      <c r="Z22" s="145"/>
      <c r="AA22" s="99" t="str">
        <f t="shared" si="4"/>
        <v/>
      </c>
      <c r="AB22" s="140"/>
      <c r="AC22" s="99" t="str">
        <f t="shared" si="5"/>
        <v/>
      </c>
      <c r="AD22" s="140"/>
      <c r="AE22" s="99" t="str">
        <f t="shared" si="6"/>
        <v/>
      </c>
      <c r="AF22" s="140"/>
      <c r="AG22" s="99" t="str">
        <f t="shared" si="7"/>
        <v/>
      </c>
      <c r="AH22" s="140"/>
      <c r="AI22" s="99" t="str">
        <f t="shared" si="8"/>
        <v/>
      </c>
      <c r="AJ22" s="140"/>
      <c r="AK22" s="28" t="str">
        <f t="shared" si="0"/>
        <v/>
      </c>
      <c r="AL22" s="111" t="str">
        <f t="shared" si="11"/>
        <v/>
      </c>
      <c r="AM22" s="111" t="str">
        <f t="shared" si="9"/>
        <v/>
      </c>
      <c r="AN22" s="178"/>
      <c r="AO22" s="178"/>
      <c r="AP22" s="178"/>
      <c r="AQ22" s="178"/>
      <c r="AR22" s="178"/>
      <c r="AS22" s="178"/>
      <c r="AT22" s="178"/>
      <c r="AU22" s="179" t="str">
        <f>IFERROR(VLOOKUP(AT22,'Seguridad Información'!$I$61:$J$65,2,0),"")</f>
        <v/>
      </c>
      <c r="AV22" s="83"/>
      <c r="AW22" s="82" t="str">
        <f t="shared" si="1"/>
        <v/>
      </c>
      <c r="AX22" s="81" t="str">
        <f t="shared" si="2"/>
        <v/>
      </c>
      <c r="AY22" s="22" t="str">
        <f>IFERROR(VLOOKUP((CONCATENATE(AM22,AX22)),Listados!$U$3:$V$11,2,FALSE),"")</f>
        <v/>
      </c>
      <c r="AZ22" s="111">
        <f t="shared" si="10"/>
        <v>100</v>
      </c>
      <c r="BA22" s="717"/>
      <c r="BB22" s="761"/>
      <c r="BC22" s="142">
        <f>+IF(AND(W22="Preventivo",BB19="Fuerte"),2,IF(AND(W22="Preventivo",BB19="Moderado"),1,0))</f>
        <v>0</v>
      </c>
      <c r="BD22" s="68">
        <f>+IF(AND(W22="Detectivo/Correctivo",$BB19="Fuerte"),2,IF(AND(W22="Detectivo/Correctivo",$BB22="Moderado"),1,IF(AND(W22="Preventivo",$BB19="Fuerte"),1,0)))</f>
        <v>0</v>
      </c>
      <c r="BE22" s="142" t="e">
        <f>+N19-BC22</f>
        <v>#N/A</v>
      </c>
      <c r="BF22" s="142" t="e">
        <f>+P19-BD22</f>
        <v>#N/A</v>
      </c>
      <c r="BG22" s="713"/>
      <c r="BH22" s="713"/>
      <c r="BI22" s="713"/>
      <c r="BJ22" s="803"/>
      <c r="BK22" s="803"/>
      <c r="BL22" s="803"/>
      <c r="BM22" s="803"/>
    </row>
    <row r="23" spans="1:65" ht="65.150000000000006" customHeight="1" thickBot="1">
      <c r="A23" s="724"/>
      <c r="B23" s="812"/>
      <c r="C23" s="730"/>
      <c r="D23" s="116"/>
      <c r="E23" s="116"/>
      <c r="F23" s="814"/>
      <c r="G23" s="736"/>
      <c r="H23" s="105"/>
      <c r="I23" s="161"/>
      <c r="J23" s="105"/>
      <c r="K23" s="29"/>
      <c r="L23" s="150"/>
      <c r="M23" s="727"/>
      <c r="N23" s="720"/>
      <c r="O23" s="810"/>
      <c r="P23" s="720"/>
      <c r="Q23" s="715"/>
      <c r="R23" s="713"/>
      <c r="S23" s="140"/>
      <c r="T23" s="180"/>
      <c r="U23" s="52" t="s">
        <v>467</v>
      </c>
      <c r="V23" s="164"/>
      <c r="W23" s="145"/>
      <c r="X23" s="145"/>
      <c r="Y23" s="99" t="str">
        <f t="shared" si="3"/>
        <v/>
      </c>
      <c r="Z23" s="145"/>
      <c r="AA23" s="99" t="str">
        <f t="shared" si="4"/>
        <v/>
      </c>
      <c r="AB23" s="140"/>
      <c r="AC23" s="99" t="str">
        <f t="shared" si="5"/>
        <v/>
      </c>
      <c r="AD23" s="140"/>
      <c r="AE23" s="99" t="str">
        <f t="shared" si="6"/>
        <v/>
      </c>
      <c r="AF23" s="140"/>
      <c r="AG23" s="99" t="str">
        <f t="shared" si="7"/>
        <v/>
      </c>
      <c r="AH23" s="140"/>
      <c r="AI23" s="99" t="str">
        <f t="shared" si="8"/>
        <v/>
      </c>
      <c r="AJ23" s="140"/>
      <c r="AK23" s="28" t="str">
        <f t="shared" si="0"/>
        <v/>
      </c>
      <c r="AL23" s="111" t="str">
        <f t="shared" si="11"/>
        <v/>
      </c>
      <c r="AM23" s="111" t="str">
        <f t="shared" si="9"/>
        <v/>
      </c>
      <c r="AN23" s="178"/>
      <c r="AO23" s="178"/>
      <c r="AP23" s="178"/>
      <c r="AQ23" s="178"/>
      <c r="AR23" s="178"/>
      <c r="AS23" s="178"/>
      <c r="AT23" s="178"/>
      <c r="AU23" s="179" t="str">
        <f>IFERROR(VLOOKUP(AT23,'Seguridad Información'!$I$61:$J$65,2,0),"")</f>
        <v/>
      </c>
      <c r="AV23" s="83"/>
      <c r="AW23" s="82" t="str">
        <f t="shared" si="1"/>
        <v/>
      </c>
      <c r="AX23" s="81" t="str">
        <f t="shared" si="2"/>
        <v/>
      </c>
      <c r="AY23" s="22" t="str">
        <f>IFERROR(VLOOKUP((CONCATENATE(AM23,AX23)),Listados!$U$3:$V$11,2,FALSE),"")</f>
        <v/>
      </c>
      <c r="AZ23" s="111">
        <f t="shared" si="10"/>
        <v>100</v>
      </c>
      <c r="BA23" s="717"/>
      <c r="BB23" s="761"/>
      <c r="BC23" s="142">
        <f>+IF(AND(W23="Preventivo",BB19="Fuerte"),2,IF(AND(W23="Preventivo",BB19="Moderado"),1,0))</f>
        <v>0</v>
      </c>
      <c r="BD23" s="68">
        <f>+IF(AND(W23="Detectivo/Correctivo",$BB19="Fuerte"),2,IF(AND(W23="Detectivo/Correctivo",$BB23="Moderado"),1,IF(AND(W23="Preventivo",$BB19="Fuerte"),1,0)))</f>
        <v>0</v>
      </c>
      <c r="BE23" s="142" t="e">
        <f>+N19-BC23</f>
        <v>#N/A</v>
      </c>
      <c r="BF23" s="142" t="e">
        <f>+P19-BD23</f>
        <v>#N/A</v>
      </c>
      <c r="BG23" s="713"/>
      <c r="BH23" s="713"/>
      <c r="BI23" s="713"/>
      <c r="BJ23" s="803"/>
      <c r="BK23" s="803"/>
      <c r="BL23" s="803"/>
      <c r="BM23" s="803"/>
    </row>
    <row r="24" spans="1:65" ht="65.150000000000006" customHeight="1" thickBot="1">
      <c r="A24" s="725"/>
      <c r="B24" s="812"/>
      <c r="C24" s="731"/>
      <c r="D24" s="113"/>
      <c r="E24" s="113"/>
      <c r="F24" s="815"/>
      <c r="G24" s="781"/>
      <c r="H24" s="105"/>
      <c r="I24" s="161"/>
      <c r="J24" s="105"/>
      <c r="K24" s="30"/>
      <c r="L24" s="150"/>
      <c r="M24" s="728"/>
      <c r="N24" s="819"/>
      <c r="O24" s="820"/>
      <c r="P24" s="819"/>
      <c r="Q24" s="824"/>
      <c r="R24" s="714"/>
      <c r="S24" s="73"/>
      <c r="T24" s="102"/>
      <c r="U24" s="52" t="s">
        <v>467</v>
      </c>
      <c r="V24" s="71"/>
      <c r="W24" s="145"/>
      <c r="X24" s="145"/>
      <c r="Y24" s="99" t="str">
        <f t="shared" si="3"/>
        <v/>
      </c>
      <c r="Z24" s="145"/>
      <c r="AA24" s="99" t="str">
        <f t="shared" si="4"/>
        <v/>
      </c>
      <c r="AB24" s="140"/>
      <c r="AC24" s="99" t="str">
        <f t="shared" si="5"/>
        <v/>
      </c>
      <c r="AD24" s="140"/>
      <c r="AE24" s="99" t="str">
        <f t="shared" si="6"/>
        <v/>
      </c>
      <c r="AF24" s="140"/>
      <c r="AG24" s="99" t="str">
        <f t="shared" si="7"/>
        <v/>
      </c>
      <c r="AH24" s="140"/>
      <c r="AI24" s="99" t="str">
        <f t="shared" si="8"/>
        <v/>
      </c>
      <c r="AJ24" s="140"/>
      <c r="AK24" s="28" t="str">
        <f t="shared" si="0"/>
        <v/>
      </c>
      <c r="AL24" s="111" t="str">
        <f t="shared" si="11"/>
        <v/>
      </c>
      <c r="AM24" s="111" t="str">
        <f t="shared" si="9"/>
        <v/>
      </c>
      <c r="AN24" s="178"/>
      <c r="AO24" s="178"/>
      <c r="AP24" s="178"/>
      <c r="AQ24" s="178"/>
      <c r="AR24" s="178"/>
      <c r="AS24" s="178"/>
      <c r="AT24" s="178"/>
      <c r="AU24" s="179" t="str">
        <f>IFERROR(VLOOKUP(AT24,'Seguridad Información'!$I$61:$J$65,2,0),"")</f>
        <v/>
      </c>
      <c r="AV24" s="83"/>
      <c r="AW24" s="82" t="str">
        <f t="shared" si="1"/>
        <v/>
      </c>
      <c r="AX24" s="81" t="str">
        <f t="shared" si="2"/>
        <v/>
      </c>
      <c r="AY24" s="22" t="str">
        <f>IFERROR(VLOOKUP((CONCATENATE(AM24,AX24)),Listados!$U$3:$V$11,2,FALSE),"")</f>
        <v/>
      </c>
      <c r="AZ24" s="111">
        <f t="shared" si="10"/>
        <v>100</v>
      </c>
      <c r="BA24" s="718"/>
      <c r="BB24" s="761"/>
      <c r="BC24" s="142">
        <f>+IF(AND(W24="Preventivo",BB19="Fuerte"),2,IF(AND(W24="Preventivo",BB19="Moderado"),1,0))</f>
        <v>0</v>
      </c>
      <c r="BD24" s="68">
        <f>+IF(AND(W24="Detectivo/Correctivo",$BB19="Fuerte"),2,IF(AND(W24="Detectivo/Correctivo",$BB24="Moderado"),1,IF(AND(W24="Preventivo",$BB19="Fuerte"),1,0)))</f>
        <v>0</v>
      </c>
      <c r="BE24" s="142" t="e">
        <f>+N19-BC24</f>
        <v>#N/A</v>
      </c>
      <c r="BF24" s="142" t="e">
        <f>+P19-BD24</f>
        <v>#N/A</v>
      </c>
      <c r="BG24" s="714"/>
      <c r="BH24" s="714"/>
      <c r="BI24" s="714"/>
      <c r="BJ24" s="804"/>
      <c r="BK24" s="804"/>
      <c r="BL24" s="804"/>
      <c r="BM24" s="804"/>
    </row>
    <row r="25" spans="1:65" ht="65.150000000000006" customHeight="1" thickBot="1">
      <c r="A25" s="723">
        <v>4</v>
      </c>
      <c r="B25" s="811"/>
      <c r="C25" s="729" t="str">
        <f>IFERROR(VLOOKUP(B25,Listados!B$3:C$20,2,FALSE),"")</f>
        <v/>
      </c>
      <c r="D25" s="114"/>
      <c r="E25" s="114"/>
      <c r="F25" s="813"/>
      <c r="G25" s="735"/>
      <c r="H25" s="105"/>
      <c r="I25" s="161"/>
      <c r="J25" s="105"/>
      <c r="K25" s="109"/>
      <c r="L25" s="18"/>
      <c r="M25" s="762"/>
      <c r="N25" s="720" t="e">
        <f>+VLOOKUP(M25,Listados!$K$8:$L$12,2,0)</f>
        <v>#N/A</v>
      </c>
      <c r="O25" s="809"/>
      <c r="P25" s="720" t="e">
        <f>+VLOOKUP(O25,Listados!$K$13:$L$17,2,0)</f>
        <v>#N/A</v>
      </c>
      <c r="Q25" s="714" t="str">
        <f>IF(AND(M25&lt;&gt;"",O25&lt;&gt;""),VLOOKUP(M25&amp;O25,Listados!$M$3:$N$27,2,FALSE),"")</f>
        <v/>
      </c>
      <c r="R25" s="712" t="e">
        <f>+VLOOKUP(Q25,Listados!$P$3:$Q$6,2,FALSE)</f>
        <v>#N/A</v>
      </c>
      <c r="S25" s="115"/>
      <c r="T25" s="99"/>
      <c r="U25" s="52" t="s">
        <v>467</v>
      </c>
      <c r="V25" s="64"/>
      <c r="W25" s="145" t="s">
        <v>20</v>
      </c>
      <c r="X25" s="145" t="s">
        <v>116</v>
      </c>
      <c r="Y25" s="99">
        <f t="shared" si="3"/>
        <v>15</v>
      </c>
      <c r="Z25" s="145" t="s">
        <v>257</v>
      </c>
      <c r="AA25" s="99">
        <f t="shared" si="4"/>
        <v>15</v>
      </c>
      <c r="AB25" s="140" t="s">
        <v>257</v>
      </c>
      <c r="AC25" s="99">
        <f t="shared" si="5"/>
        <v>15</v>
      </c>
      <c r="AD25" s="140" t="s">
        <v>257</v>
      </c>
      <c r="AE25" s="99">
        <f t="shared" si="6"/>
        <v>15</v>
      </c>
      <c r="AF25" s="140" t="s">
        <v>257</v>
      </c>
      <c r="AG25" s="99">
        <f t="shared" si="7"/>
        <v>15</v>
      </c>
      <c r="AH25" s="140" t="s">
        <v>257</v>
      </c>
      <c r="AI25" s="99">
        <f t="shared" si="8"/>
        <v>15</v>
      </c>
      <c r="AJ25" s="140" t="s">
        <v>607</v>
      </c>
      <c r="AK25" s="28">
        <f t="shared" si="0"/>
        <v>5</v>
      </c>
      <c r="AL25" s="111">
        <f t="shared" si="11"/>
        <v>95</v>
      </c>
      <c r="AM25" s="111" t="str">
        <f t="shared" si="9"/>
        <v>Moderado</v>
      </c>
      <c r="AN25" s="178"/>
      <c r="AO25" s="178"/>
      <c r="AP25" s="178"/>
      <c r="AQ25" s="178"/>
      <c r="AR25" s="178"/>
      <c r="AS25" s="178"/>
      <c r="AT25" s="178"/>
      <c r="AU25" s="179" t="str">
        <f>IFERROR(VLOOKUP(AT25,'Seguridad Información'!$I$61:$J$65,2,0),"")</f>
        <v/>
      </c>
      <c r="AV25" s="83"/>
      <c r="AW25" s="82" t="str">
        <f t="shared" si="1"/>
        <v/>
      </c>
      <c r="AX25" s="81" t="str">
        <f t="shared" si="2"/>
        <v/>
      </c>
      <c r="AY25" s="22" t="str">
        <f>IFERROR(VLOOKUP((CONCATENATE(AM25,AX25)),Listados!$U$3:$V$11,2,FALSE),"")</f>
        <v/>
      </c>
      <c r="AZ25" s="111">
        <f t="shared" si="10"/>
        <v>100</v>
      </c>
      <c r="BA25" s="716">
        <f>AVERAGE(AZ25:AZ30)</f>
        <v>100</v>
      </c>
      <c r="BB25" s="718" t="str">
        <f>IF(BA25&lt;=50, "Débil", IF(BA25&lt;=99,"Moderado","Fuerte"))</f>
        <v>Fuerte</v>
      </c>
      <c r="BC25" s="142">
        <f>+IF(AND(W25="Preventivo",BB25="Fuerte"),2,IF(AND(W25="Preventivo",BB25="Moderado"),1,0))</f>
        <v>2</v>
      </c>
      <c r="BD25" s="68">
        <f>+IF(AND(W25="Detectivo/Correctivo",$BB25="Fuerte"),2,IF(AND(W25="Detectivo/Correctivo",$BB25="Moderado"),1,IF(AND(W25="Preventivo",$BB25="Fuerte"),1,0)))</f>
        <v>1</v>
      </c>
      <c r="BE25" s="142" t="e">
        <f>+N25-BC25</f>
        <v>#N/A</v>
      </c>
      <c r="BF25" s="142" t="e">
        <f>+P25-BD25</f>
        <v>#N/A</v>
      </c>
      <c r="BG25" s="712" t="e">
        <f>+VLOOKUP(MIN(BE25,BE26,BE27,BE28,BE29,BE30),Listados!$J$18:$K$24,2,TRUE)</f>
        <v>#N/A</v>
      </c>
      <c r="BH25" s="712" t="e">
        <f>+VLOOKUP(MIN(BF25,BF26,BF27,BF28,BF29,BF30),Listados!$J$26:$K$32,2,TRUE)</f>
        <v>#N/A</v>
      </c>
      <c r="BI25" s="712" t="e">
        <f>IF(AND(BG25&lt;&gt;"",BH25&lt;&gt;""),VLOOKUP(BG25&amp;BH25,Listados!$M$3:$N$27,2,FALSE),"")</f>
        <v>#N/A</v>
      </c>
      <c r="BJ25" s="802" t="e">
        <f>+IF($R25="Asumir el riesgo","NA","")</f>
        <v>#N/A</v>
      </c>
      <c r="BK25" s="802" t="e">
        <f>+IF($R25="Asumir el riesgo","NA","")</f>
        <v>#N/A</v>
      </c>
      <c r="BL25" s="802" t="e">
        <f>+IF($R25="Asumir el riesgo","NA","")</f>
        <v>#N/A</v>
      </c>
      <c r="BM25" s="802" t="e">
        <f>+IF($R25="Asumir el riesgo","NA","")</f>
        <v>#N/A</v>
      </c>
    </row>
    <row r="26" spans="1:65" ht="65.150000000000006" customHeight="1" thickBot="1">
      <c r="A26" s="724"/>
      <c r="B26" s="812"/>
      <c r="C26" s="730"/>
      <c r="D26" s="158"/>
      <c r="E26" s="158"/>
      <c r="F26" s="814"/>
      <c r="G26" s="736"/>
      <c r="H26" s="105"/>
      <c r="I26" s="161"/>
      <c r="J26" s="105"/>
      <c r="K26" s="160"/>
      <c r="L26" s="150"/>
      <c r="M26" s="727"/>
      <c r="N26" s="720"/>
      <c r="O26" s="810"/>
      <c r="P26" s="720"/>
      <c r="Q26" s="715"/>
      <c r="R26" s="713"/>
      <c r="S26" s="140"/>
      <c r="T26" s="180"/>
      <c r="U26" s="52" t="s">
        <v>467</v>
      </c>
      <c r="V26" s="164"/>
      <c r="W26" s="145" t="s">
        <v>123</v>
      </c>
      <c r="X26" s="145" t="s">
        <v>517</v>
      </c>
      <c r="Y26" s="99" t="str">
        <f t="shared" si="3"/>
        <v/>
      </c>
      <c r="Z26" s="145" t="s">
        <v>257</v>
      </c>
      <c r="AA26" s="99">
        <f t="shared" si="4"/>
        <v>15</v>
      </c>
      <c r="AB26" s="140" t="s">
        <v>257</v>
      </c>
      <c r="AC26" s="99">
        <f t="shared" si="5"/>
        <v>15</v>
      </c>
      <c r="AD26" s="140" t="s">
        <v>257</v>
      </c>
      <c r="AE26" s="99">
        <f t="shared" si="6"/>
        <v>15</v>
      </c>
      <c r="AF26" s="140" t="s">
        <v>257</v>
      </c>
      <c r="AG26" s="99">
        <f t="shared" si="7"/>
        <v>15</v>
      </c>
      <c r="AH26" s="140" t="s">
        <v>257</v>
      </c>
      <c r="AI26" s="99">
        <f t="shared" si="8"/>
        <v>15</v>
      </c>
      <c r="AJ26" s="140" t="s">
        <v>117</v>
      </c>
      <c r="AK26" s="28">
        <f t="shared" si="0"/>
        <v>10</v>
      </c>
      <c r="AL26" s="111">
        <f t="shared" si="11"/>
        <v>85</v>
      </c>
      <c r="AM26" s="111" t="str">
        <f t="shared" si="9"/>
        <v>Débil</v>
      </c>
      <c r="AN26" s="178"/>
      <c r="AO26" s="178"/>
      <c r="AP26" s="178"/>
      <c r="AQ26" s="178"/>
      <c r="AR26" s="178"/>
      <c r="AS26" s="178"/>
      <c r="AT26" s="178"/>
      <c r="AU26" s="179" t="str">
        <f>IFERROR(VLOOKUP(AT26,'Seguridad Información'!$I$61:$J$65,2,0),"")</f>
        <v/>
      </c>
      <c r="AV26" s="83"/>
      <c r="AW26" s="82" t="str">
        <f t="shared" si="1"/>
        <v/>
      </c>
      <c r="AX26" s="81" t="str">
        <f t="shared" si="2"/>
        <v/>
      </c>
      <c r="AY26" s="22" t="str">
        <f>IFERROR(VLOOKUP((CONCATENATE(AM26,AX26)),Listados!$U$3:$V$11,2,FALSE),"")</f>
        <v/>
      </c>
      <c r="AZ26" s="111">
        <f t="shared" si="10"/>
        <v>100</v>
      </c>
      <c r="BA26" s="717"/>
      <c r="BB26" s="761"/>
      <c r="BC26" s="142">
        <f>+IF(AND(W26="Preventivo",BB25="Fuerte"),2,IF(AND(W26="Preventivo",BB25="Moderado"),1,0))</f>
        <v>0</v>
      </c>
      <c r="BD26" s="68">
        <f>+IF(AND(W26="Detectivo/Correctivo",$BB25="Fuerte"),2,IF(AND(W26="Detectivo/Correctivo",$BB26="Moderado"),1,IF(AND(W26="Preventivo",$BB25="Fuerte"),1,0)))</f>
        <v>0</v>
      </c>
      <c r="BE26" s="142" t="e">
        <f>+N25-BC26</f>
        <v>#N/A</v>
      </c>
      <c r="BF26" s="142" t="e">
        <f>+P25-BD26</f>
        <v>#N/A</v>
      </c>
      <c r="BG26" s="713"/>
      <c r="BH26" s="713"/>
      <c r="BI26" s="713"/>
      <c r="BJ26" s="803"/>
      <c r="BK26" s="803"/>
      <c r="BL26" s="803"/>
      <c r="BM26" s="803"/>
    </row>
    <row r="27" spans="1:65" ht="65.150000000000006" customHeight="1" thickBot="1">
      <c r="A27" s="724"/>
      <c r="B27" s="812"/>
      <c r="C27" s="730"/>
      <c r="D27" s="158"/>
      <c r="E27" s="158"/>
      <c r="F27" s="814"/>
      <c r="G27" s="736"/>
      <c r="H27" s="105"/>
      <c r="I27" s="161"/>
      <c r="J27" s="105"/>
      <c r="K27" s="160"/>
      <c r="L27" s="150"/>
      <c r="M27" s="727"/>
      <c r="N27" s="720"/>
      <c r="O27" s="810"/>
      <c r="P27" s="720"/>
      <c r="Q27" s="715"/>
      <c r="R27" s="713"/>
      <c r="S27" s="181"/>
      <c r="T27" s="99"/>
      <c r="U27" s="52" t="s">
        <v>467</v>
      </c>
      <c r="V27" s="164"/>
      <c r="W27" s="145"/>
      <c r="X27" s="145"/>
      <c r="Y27" s="99" t="str">
        <f t="shared" si="3"/>
        <v/>
      </c>
      <c r="Z27" s="145"/>
      <c r="AA27" s="99" t="str">
        <f t="shared" si="4"/>
        <v/>
      </c>
      <c r="AB27" s="140"/>
      <c r="AC27" s="99" t="str">
        <f t="shared" si="5"/>
        <v/>
      </c>
      <c r="AD27" s="140"/>
      <c r="AE27" s="99" t="str">
        <f t="shared" si="6"/>
        <v/>
      </c>
      <c r="AF27" s="140"/>
      <c r="AG27" s="99" t="str">
        <f t="shared" si="7"/>
        <v/>
      </c>
      <c r="AH27" s="140"/>
      <c r="AI27" s="99" t="str">
        <f t="shared" si="8"/>
        <v/>
      </c>
      <c r="AJ27" s="140"/>
      <c r="AK27" s="28" t="str">
        <f t="shared" si="0"/>
        <v/>
      </c>
      <c r="AL27" s="111" t="str">
        <f t="shared" si="11"/>
        <v/>
      </c>
      <c r="AM27" s="111" t="str">
        <f t="shared" si="9"/>
        <v/>
      </c>
      <c r="AN27" s="178"/>
      <c r="AO27" s="178"/>
      <c r="AP27" s="178"/>
      <c r="AQ27" s="178"/>
      <c r="AR27" s="178"/>
      <c r="AS27" s="178"/>
      <c r="AT27" s="178"/>
      <c r="AU27" s="179" t="str">
        <f>IFERROR(VLOOKUP(AT27,'Seguridad Información'!$I$61:$J$65,2,0),"")</f>
        <v/>
      </c>
      <c r="AV27" s="83"/>
      <c r="AW27" s="82" t="str">
        <f t="shared" si="1"/>
        <v/>
      </c>
      <c r="AX27" s="81" t="str">
        <f t="shared" si="2"/>
        <v/>
      </c>
      <c r="AY27" s="22" t="str">
        <f>IFERROR(VLOOKUP((CONCATENATE(AM27,AX27)),Listados!$U$3:$V$11,2,FALSE),"")</f>
        <v/>
      </c>
      <c r="AZ27" s="111">
        <f t="shared" si="10"/>
        <v>100</v>
      </c>
      <c r="BA27" s="717"/>
      <c r="BB27" s="761"/>
      <c r="BC27" s="142">
        <f>+IF(AND(W27="Preventivo",BB25="Fuerte"),2,IF(AND(W27="Preventivo",BB25="Moderado"),1,0))</f>
        <v>0</v>
      </c>
      <c r="BD27" s="68">
        <f>+IF(AND(W27="Detectivo/Correctivo",$BB25="Fuerte"),2,IF(AND(W27="Detectivo/Correctivo",$BB27="Moderado"),1,IF(AND(W27="Preventivo",$BB25="Fuerte"),1,0)))</f>
        <v>0</v>
      </c>
      <c r="BE27" s="142" t="e">
        <f>+N25-BC27</f>
        <v>#N/A</v>
      </c>
      <c r="BF27" s="142" t="e">
        <f>+P25-BD27</f>
        <v>#N/A</v>
      </c>
      <c r="BG27" s="713"/>
      <c r="BH27" s="713"/>
      <c r="BI27" s="713"/>
      <c r="BJ27" s="803"/>
      <c r="BK27" s="803"/>
      <c r="BL27" s="803"/>
      <c r="BM27" s="803"/>
    </row>
    <row r="28" spans="1:65" ht="65.150000000000006" customHeight="1" thickBot="1">
      <c r="A28" s="724"/>
      <c r="B28" s="812"/>
      <c r="C28" s="730"/>
      <c r="D28" s="158"/>
      <c r="E28" s="158"/>
      <c r="F28" s="814"/>
      <c r="G28" s="736"/>
      <c r="H28" s="105"/>
      <c r="I28" s="161"/>
      <c r="J28" s="105"/>
      <c r="K28" s="160"/>
      <c r="L28" s="150"/>
      <c r="M28" s="727"/>
      <c r="N28" s="720"/>
      <c r="O28" s="810"/>
      <c r="P28" s="720"/>
      <c r="Q28" s="830"/>
      <c r="R28" s="713"/>
      <c r="S28" s="97"/>
      <c r="T28" s="97"/>
      <c r="U28" s="52" t="s">
        <v>467</v>
      </c>
      <c r="V28" s="164"/>
      <c r="W28" s="145"/>
      <c r="X28" s="145"/>
      <c r="Y28" s="99" t="str">
        <f t="shared" si="3"/>
        <v/>
      </c>
      <c r="Z28" s="145"/>
      <c r="AA28" s="99" t="str">
        <f t="shared" si="4"/>
        <v/>
      </c>
      <c r="AB28" s="140"/>
      <c r="AC28" s="99" t="str">
        <f t="shared" si="5"/>
        <v/>
      </c>
      <c r="AD28" s="140"/>
      <c r="AE28" s="99" t="str">
        <f t="shared" si="6"/>
        <v/>
      </c>
      <c r="AF28" s="140"/>
      <c r="AG28" s="99" t="str">
        <f t="shared" si="7"/>
        <v/>
      </c>
      <c r="AH28" s="140"/>
      <c r="AI28" s="99" t="str">
        <f t="shared" si="8"/>
        <v/>
      </c>
      <c r="AJ28" s="140"/>
      <c r="AK28" s="28" t="str">
        <f t="shared" si="0"/>
        <v/>
      </c>
      <c r="AL28" s="111" t="str">
        <f t="shared" si="11"/>
        <v/>
      </c>
      <c r="AM28" s="111" t="str">
        <f t="shared" si="9"/>
        <v/>
      </c>
      <c r="AN28" s="178"/>
      <c r="AO28" s="178"/>
      <c r="AP28" s="178"/>
      <c r="AQ28" s="178"/>
      <c r="AR28" s="178"/>
      <c r="AS28" s="178"/>
      <c r="AT28" s="178"/>
      <c r="AU28" s="179" t="str">
        <f>IFERROR(VLOOKUP(AT28,'Seguridad Información'!$I$61:$J$65,2,0),"")</f>
        <v/>
      </c>
      <c r="AV28" s="83"/>
      <c r="AW28" s="82" t="str">
        <f t="shared" si="1"/>
        <v/>
      </c>
      <c r="AX28" s="81" t="str">
        <f t="shared" si="2"/>
        <v/>
      </c>
      <c r="AY28" s="22" t="str">
        <f>IFERROR(VLOOKUP((CONCATENATE(AM28,AX28)),Listados!$U$3:$V$11,2,FALSE),"")</f>
        <v/>
      </c>
      <c r="AZ28" s="111">
        <f t="shared" si="10"/>
        <v>100</v>
      </c>
      <c r="BA28" s="717"/>
      <c r="BB28" s="761"/>
      <c r="BC28" s="142">
        <f>+IF(AND(W28="Preventivo",BB25="Fuerte"),2,IF(AND(W28="Preventivo",BB25="Moderado"),1,0))</f>
        <v>0</v>
      </c>
      <c r="BD28" s="68">
        <f>+IF(AND(W28="Detectivo/Correctivo",$BB25="Fuerte"),2,IF(AND(W28="Detectivo/Correctivo",$BB28="Moderado"),1,IF(AND(W28="Preventivo",$BB25="Fuerte"),1,0)))</f>
        <v>0</v>
      </c>
      <c r="BE28" s="142" t="e">
        <f>+N25-BC28</f>
        <v>#N/A</v>
      </c>
      <c r="BF28" s="142" t="e">
        <f>+P25-BD28</f>
        <v>#N/A</v>
      </c>
      <c r="BG28" s="713"/>
      <c r="BH28" s="713"/>
      <c r="BI28" s="713"/>
      <c r="BJ28" s="803"/>
      <c r="BK28" s="803"/>
      <c r="BL28" s="803"/>
      <c r="BM28" s="803"/>
    </row>
    <row r="29" spans="1:65" ht="65.150000000000006" customHeight="1" thickBot="1">
      <c r="A29" s="724"/>
      <c r="B29" s="812"/>
      <c r="C29" s="730"/>
      <c r="D29" s="116"/>
      <c r="E29" s="116"/>
      <c r="F29" s="814"/>
      <c r="G29" s="736"/>
      <c r="H29" s="105"/>
      <c r="I29" s="161"/>
      <c r="J29" s="105"/>
      <c r="K29" s="29"/>
      <c r="L29" s="150"/>
      <c r="M29" s="727"/>
      <c r="N29" s="720"/>
      <c r="O29" s="810"/>
      <c r="P29" s="720"/>
      <c r="Q29" s="715"/>
      <c r="R29" s="713"/>
      <c r="S29" s="115"/>
      <c r="T29" s="100"/>
      <c r="U29" s="52" t="s">
        <v>467</v>
      </c>
      <c r="V29" s="164"/>
      <c r="W29" s="145"/>
      <c r="X29" s="145"/>
      <c r="Y29" s="99" t="str">
        <f t="shared" si="3"/>
        <v/>
      </c>
      <c r="Z29" s="145"/>
      <c r="AA29" s="99" t="str">
        <f t="shared" si="4"/>
        <v/>
      </c>
      <c r="AB29" s="140"/>
      <c r="AC29" s="99" t="str">
        <f t="shared" si="5"/>
        <v/>
      </c>
      <c r="AD29" s="140"/>
      <c r="AE29" s="99" t="str">
        <f t="shared" si="6"/>
        <v/>
      </c>
      <c r="AF29" s="140"/>
      <c r="AG29" s="99" t="str">
        <f t="shared" si="7"/>
        <v/>
      </c>
      <c r="AH29" s="140"/>
      <c r="AI29" s="99" t="str">
        <f t="shared" si="8"/>
        <v/>
      </c>
      <c r="AJ29" s="140"/>
      <c r="AK29" s="28" t="str">
        <f t="shared" si="0"/>
        <v/>
      </c>
      <c r="AL29" s="111" t="str">
        <f t="shared" si="11"/>
        <v/>
      </c>
      <c r="AM29" s="111" t="str">
        <f t="shared" si="9"/>
        <v/>
      </c>
      <c r="AN29" s="178"/>
      <c r="AO29" s="178"/>
      <c r="AP29" s="178"/>
      <c r="AQ29" s="178"/>
      <c r="AR29" s="178"/>
      <c r="AS29" s="178"/>
      <c r="AT29" s="178"/>
      <c r="AU29" s="179" t="str">
        <f>IFERROR(VLOOKUP(AT29,'Seguridad Información'!$I$61:$J$65,2,0),"")</f>
        <v/>
      </c>
      <c r="AV29" s="83"/>
      <c r="AW29" s="82" t="str">
        <f t="shared" si="1"/>
        <v/>
      </c>
      <c r="AX29" s="81" t="str">
        <f t="shared" si="2"/>
        <v/>
      </c>
      <c r="AY29" s="22" t="str">
        <f>IFERROR(VLOOKUP((CONCATENATE(AM29,AX29)),Listados!$U$3:$V$11,2,FALSE),"")</f>
        <v/>
      </c>
      <c r="AZ29" s="111">
        <f t="shared" si="10"/>
        <v>100</v>
      </c>
      <c r="BA29" s="717"/>
      <c r="BB29" s="761"/>
      <c r="BC29" s="142">
        <f>+IF(AND(W29="Preventivo",BB25="Fuerte"),2,IF(AND(W29="Preventivo",BB25="Moderado"),1,0))</f>
        <v>0</v>
      </c>
      <c r="BD29" s="68">
        <f>+IF(AND(W29="Detectivo/Correctivo",$BB25="Fuerte"),2,IF(AND(W29="Detectivo/Correctivo",$BB29="Moderado"),1,IF(AND(W29="Preventivo",$BB25="Fuerte"),1,0)))</f>
        <v>0</v>
      </c>
      <c r="BE29" s="142" t="e">
        <f>+N25-BC29</f>
        <v>#N/A</v>
      </c>
      <c r="BF29" s="142" t="e">
        <f>+P25-BD29</f>
        <v>#N/A</v>
      </c>
      <c r="BG29" s="713"/>
      <c r="BH29" s="713"/>
      <c r="BI29" s="713"/>
      <c r="BJ29" s="803"/>
      <c r="BK29" s="803"/>
      <c r="BL29" s="803"/>
      <c r="BM29" s="803"/>
    </row>
    <row r="30" spans="1:65" ht="65.150000000000006" customHeight="1" thickBot="1">
      <c r="A30" s="725"/>
      <c r="B30" s="812"/>
      <c r="C30" s="731"/>
      <c r="D30" s="113"/>
      <c r="E30" s="113"/>
      <c r="F30" s="815"/>
      <c r="G30" s="781"/>
      <c r="H30" s="105"/>
      <c r="I30" s="161"/>
      <c r="J30" s="105"/>
      <c r="K30" s="30"/>
      <c r="L30" s="150"/>
      <c r="M30" s="728"/>
      <c r="N30" s="819"/>
      <c r="O30" s="820"/>
      <c r="P30" s="819"/>
      <c r="Q30" s="824"/>
      <c r="R30" s="714"/>
      <c r="S30" s="73"/>
      <c r="T30" s="102"/>
      <c r="U30" s="52" t="s">
        <v>467</v>
      </c>
      <c r="V30" s="71"/>
      <c r="W30" s="145"/>
      <c r="X30" s="145"/>
      <c r="Y30" s="99" t="str">
        <f t="shared" si="3"/>
        <v/>
      </c>
      <c r="Z30" s="145"/>
      <c r="AA30" s="99" t="str">
        <f t="shared" si="4"/>
        <v/>
      </c>
      <c r="AB30" s="140"/>
      <c r="AC30" s="99" t="str">
        <f t="shared" si="5"/>
        <v/>
      </c>
      <c r="AD30" s="140"/>
      <c r="AE30" s="99" t="str">
        <f t="shared" si="6"/>
        <v/>
      </c>
      <c r="AF30" s="140"/>
      <c r="AG30" s="99" t="str">
        <f t="shared" si="7"/>
        <v/>
      </c>
      <c r="AH30" s="140"/>
      <c r="AI30" s="99" t="str">
        <f t="shared" si="8"/>
        <v/>
      </c>
      <c r="AJ30" s="140"/>
      <c r="AK30" s="28" t="str">
        <f t="shared" si="0"/>
        <v/>
      </c>
      <c r="AL30" s="111" t="str">
        <f t="shared" si="11"/>
        <v/>
      </c>
      <c r="AM30" s="111" t="str">
        <f t="shared" si="9"/>
        <v/>
      </c>
      <c r="AN30" s="178"/>
      <c r="AO30" s="178"/>
      <c r="AP30" s="178"/>
      <c r="AQ30" s="178"/>
      <c r="AR30" s="178"/>
      <c r="AS30" s="178"/>
      <c r="AT30" s="178"/>
      <c r="AU30" s="179" t="str">
        <f>IFERROR(VLOOKUP(AT30,'Seguridad Información'!$I$61:$J$65,2,0),"")</f>
        <v/>
      </c>
      <c r="AV30" s="83"/>
      <c r="AW30" s="82" t="str">
        <f t="shared" si="1"/>
        <v/>
      </c>
      <c r="AX30" s="81" t="str">
        <f t="shared" si="2"/>
        <v/>
      </c>
      <c r="AY30" s="22" t="str">
        <f>IFERROR(VLOOKUP((CONCATENATE(AM30,AX30)),Listados!$U$3:$V$11,2,FALSE),"")</f>
        <v/>
      </c>
      <c r="AZ30" s="111">
        <f t="shared" si="10"/>
        <v>100</v>
      </c>
      <c r="BA30" s="718"/>
      <c r="BB30" s="761"/>
      <c r="BC30" s="142">
        <f>+IF(AND(W30="Preventivo",BB25="Fuerte"),2,IF(AND(W30="Preventivo",BB25="Moderado"),1,0))</f>
        <v>0</v>
      </c>
      <c r="BD30" s="68">
        <f>+IF(AND(W30="Detectivo/Correctivo",$BB25="Fuerte"),2,IF(AND(W30="Detectivo/Correctivo",$BB30="Moderado"),1,IF(AND(W30="Preventivo",$BB25="Fuerte"),1,0)))</f>
        <v>0</v>
      </c>
      <c r="BE30" s="142" t="e">
        <f>+N25-BC30</f>
        <v>#N/A</v>
      </c>
      <c r="BF30" s="142" t="e">
        <f>+P25-BD30</f>
        <v>#N/A</v>
      </c>
      <c r="BG30" s="714"/>
      <c r="BH30" s="714"/>
      <c r="BI30" s="714"/>
      <c r="BJ30" s="804"/>
      <c r="BK30" s="804"/>
      <c r="BL30" s="804"/>
      <c r="BM30" s="804"/>
    </row>
    <row r="31" spans="1:65" ht="65.150000000000006" customHeight="1" thickBot="1">
      <c r="A31" s="723">
        <v>5</v>
      </c>
      <c r="B31" s="811"/>
      <c r="C31" s="729" t="str">
        <f>IFERROR(VLOOKUP(B31,Listados!B$3:C$20,2,FALSE),"")</f>
        <v/>
      </c>
      <c r="D31" s="114"/>
      <c r="E31" s="114"/>
      <c r="F31" s="813"/>
      <c r="G31" s="735"/>
      <c r="H31" s="105"/>
      <c r="I31" s="161"/>
      <c r="J31" s="105"/>
      <c r="K31" s="109"/>
      <c r="L31" s="18"/>
      <c r="M31" s="762"/>
      <c r="N31" s="720" t="e">
        <f>+VLOOKUP(M31,Listados!$K$8:$L$12,2,0)</f>
        <v>#N/A</v>
      </c>
      <c r="O31" s="809"/>
      <c r="P31" s="720" t="e">
        <f>+VLOOKUP(O31,Listados!$K$13:$L$17,2,0)</f>
        <v>#N/A</v>
      </c>
      <c r="Q31" s="714" t="str">
        <f>IF(AND(M31&lt;&gt;"",O31&lt;&gt;""),VLOOKUP(M31&amp;O31,Listados!$M$3:$N$27,2,FALSE),"")</f>
        <v/>
      </c>
      <c r="R31" s="712" t="e">
        <f>+VLOOKUP(Q31,Listados!$P$3:$Q$6,2,FALSE)</f>
        <v>#N/A</v>
      </c>
      <c r="S31" s="115"/>
      <c r="T31" s="99"/>
      <c r="U31" s="52" t="s">
        <v>467</v>
      </c>
      <c r="V31" s="145"/>
      <c r="W31" s="145"/>
      <c r="X31" s="145"/>
      <c r="Y31" s="99" t="str">
        <f t="shared" si="3"/>
        <v/>
      </c>
      <c r="Z31" s="145"/>
      <c r="AA31" s="99" t="str">
        <f t="shared" si="4"/>
        <v/>
      </c>
      <c r="AB31" s="140"/>
      <c r="AC31" s="99" t="str">
        <f t="shared" si="5"/>
        <v/>
      </c>
      <c r="AD31" s="140"/>
      <c r="AE31" s="99" t="str">
        <f t="shared" si="6"/>
        <v/>
      </c>
      <c r="AF31" s="140"/>
      <c r="AG31" s="99" t="str">
        <f t="shared" si="7"/>
        <v/>
      </c>
      <c r="AH31" s="140"/>
      <c r="AI31" s="99" t="str">
        <f t="shared" si="8"/>
        <v/>
      </c>
      <c r="AJ31" s="140"/>
      <c r="AK31" s="28" t="str">
        <f t="shared" si="0"/>
        <v/>
      </c>
      <c r="AL31" s="111" t="str">
        <f t="shared" si="11"/>
        <v/>
      </c>
      <c r="AM31" s="111" t="str">
        <f t="shared" si="9"/>
        <v/>
      </c>
      <c r="AN31" s="178"/>
      <c r="AO31" s="178"/>
      <c r="AP31" s="178"/>
      <c r="AQ31" s="178"/>
      <c r="AR31" s="178"/>
      <c r="AS31" s="178"/>
      <c r="AT31" s="178"/>
      <c r="AU31" s="179" t="str">
        <f>IFERROR(VLOOKUP(AT31,'Seguridad Información'!$I$61:$J$65,2,0),"")</f>
        <v/>
      </c>
      <c r="AV31" s="83"/>
      <c r="AW31" s="82" t="str">
        <f t="shared" si="1"/>
        <v/>
      </c>
      <c r="AX31" s="81" t="str">
        <f t="shared" si="2"/>
        <v/>
      </c>
      <c r="AY31" s="22" t="str">
        <f>IFERROR(VLOOKUP((CONCATENATE(AM31,AX31)),Listados!$U$3:$V$11,2,FALSE),"")</f>
        <v/>
      </c>
      <c r="AZ31" s="111">
        <f t="shared" si="10"/>
        <v>100</v>
      </c>
      <c r="BA31" s="716">
        <f>AVERAGE(AZ31:AZ36)</f>
        <v>100</v>
      </c>
      <c r="BB31" s="718" t="str">
        <f>IF(BA31&lt;=50, "Débil", IF(BA31&lt;=99,"Moderado","Fuerte"))</f>
        <v>Fuerte</v>
      </c>
      <c r="BC31" s="142">
        <f>+IF(AND(W31="Preventivo",BB31="Fuerte"),2,IF(AND(W31="Preventivo",BB31="Moderado"),1,0))</f>
        <v>0</v>
      </c>
      <c r="BD31" s="68">
        <f>+IF(AND(W31="Detectivo/Correctivo",$BB31="Fuerte"),2,IF(AND(W31="Detectivo/Correctivo",$BB31="Moderado"),1,IF(AND(W31="Preventivo",$BB31="Fuerte"),1,0)))</f>
        <v>0</v>
      </c>
      <c r="BE31" s="142" t="e">
        <f>+N31-BC31</f>
        <v>#N/A</v>
      </c>
      <c r="BF31" s="142" t="e">
        <f>+P31-BD31</f>
        <v>#N/A</v>
      </c>
      <c r="BG31" s="712" t="e">
        <f>+VLOOKUP(MIN(BE31,BE32,BE33,BE34,BE35,BE36),Listados!$J$18:$K$24,2,TRUE)</f>
        <v>#N/A</v>
      </c>
      <c r="BH31" s="712" t="e">
        <f>+VLOOKUP(MIN(BF31,BF32,BF33,BF34,BF35,BF36),Listados!$J$26:$K$32,2,TRUE)</f>
        <v>#N/A</v>
      </c>
      <c r="BI31" s="712" t="e">
        <f>IF(AND(BG31&lt;&gt;"",BH31&lt;&gt;""),VLOOKUP(BG31&amp;BH31,Listados!$M$3:$N$27,2,FALSE),"")</f>
        <v>#N/A</v>
      </c>
      <c r="BJ31" s="802" t="e">
        <f>+IF($R31="Asumir el riesgo","NA","")</f>
        <v>#N/A</v>
      </c>
      <c r="BK31" s="802" t="e">
        <f>+IF($R31="Asumir el riesgo","NA","")</f>
        <v>#N/A</v>
      </c>
      <c r="BL31" s="802" t="e">
        <f>+IF($R31="Asumir el riesgo","NA","")</f>
        <v>#N/A</v>
      </c>
      <c r="BM31" s="802" t="e">
        <f>+IF($R31="Asumir el riesgo","NA","")</f>
        <v>#N/A</v>
      </c>
    </row>
    <row r="32" spans="1:65" ht="65.150000000000006" customHeight="1" thickBot="1">
      <c r="A32" s="724"/>
      <c r="B32" s="812"/>
      <c r="C32" s="730"/>
      <c r="D32" s="158"/>
      <c r="E32" s="158"/>
      <c r="F32" s="814"/>
      <c r="G32" s="736"/>
      <c r="H32" s="105"/>
      <c r="I32" s="161"/>
      <c r="J32" s="105"/>
      <c r="K32" s="160"/>
      <c r="L32" s="150"/>
      <c r="M32" s="727"/>
      <c r="N32" s="720"/>
      <c r="O32" s="810"/>
      <c r="P32" s="720"/>
      <c r="Q32" s="715"/>
      <c r="R32" s="713"/>
      <c r="S32" s="140"/>
      <c r="T32" s="180"/>
      <c r="U32" s="52" t="s">
        <v>467</v>
      </c>
      <c r="V32" s="145"/>
      <c r="W32" s="145"/>
      <c r="X32" s="145"/>
      <c r="Y32" s="99" t="str">
        <f t="shared" si="3"/>
        <v/>
      </c>
      <c r="Z32" s="145"/>
      <c r="AA32" s="99" t="str">
        <f t="shared" si="4"/>
        <v/>
      </c>
      <c r="AB32" s="140"/>
      <c r="AC32" s="99" t="str">
        <f t="shared" si="5"/>
        <v/>
      </c>
      <c r="AD32" s="140"/>
      <c r="AE32" s="99" t="str">
        <f t="shared" si="6"/>
        <v/>
      </c>
      <c r="AF32" s="140"/>
      <c r="AG32" s="99" t="str">
        <f t="shared" si="7"/>
        <v/>
      </c>
      <c r="AH32" s="140"/>
      <c r="AI32" s="99" t="str">
        <f t="shared" si="8"/>
        <v/>
      </c>
      <c r="AJ32" s="140"/>
      <c r="AK32" s="28" t="str">
        <f t="shared" si="0"/>
        <v/>
      </c>
      <c r="AL32" s="111" t="str">
        <f t="shared" si="11"/>
        <v/>
      </c>
      <c r="AM32" s="111" t="str">
        <f t="shared" si="9"/>
        <v/>
      </c>
      <c r="AN32" s="178"/>
      <c r="AO32" s="178"/>
      <c r="AP32" s="178"/>
      <c r="AQ32" s="178"/>
      <c r="AR32" s="178"/>
      <c r="AS32" s="178"/>
      <c r="AT32" s="178"/>
      <c r="AU32" s="179" t="str">
        <f>IFERROR(VLOOKUP(AT32,'Seguridad Información'!$I$61:$J$65,2,0),"")</f>
        <v/>
      </c>
      <c r="AV32" s="83"/>
      <c r="AW32" s="82" t="str">
        <f t="shared" si="1"/>
        <v/>
      </c>
      <c r="AX32" s="81" t="str">
        <f t="shared" si="2"/>
        <v/>
      </c>
      <c r="AY32" s="22" t="str">
        <f>IFERROR(VLOOKUP((CONCATENATE(AM32,AX32)),Listados!$U$3:$V$11,2,FALSE),"")</f>
        <v/>
      </c>
      <c r="AZ32" s="111">
        <f t="shared" si="10"/>
        <v>100</v>
      </c>
      <c r="BA32" s="717"/>
      <c r="BB32" s="761"/>
      <c r="BC32" s="142">
        <f>+IF(AND(W32="Preventivo",BB31="Fuerte"),2,IF(AND(W32="Preventivo",BB31="Moderado"),1,0))</f>
        <v>0</v>
      </c>
      <c r="BD32" s="68">
        <f>+IF(AND(W32="Detectivo/Correctivo",$BB31="Fuerte"),2,IF(AND(W32="Detectivo/Correctivo",$BB32="Moderado"),1,IF(AND(W32="Preventivo",$BB31="Fuerte"),1,0)))</f>
        <v>0</v>
      </c>
      <c r="BE32" s="142" t="e">
        <f>+N31-BC32</f>
        <v>#N/A</v>
      </c>
      <c r="BF32" s="142" t="e">
        <f>+P31-BD32</f>
        <v>#N/A</v>
      </c>
      <c r="BG32" s="713"/>
      <c r="BH32" s="713"/>
      <c r="BI32" s="713"/>
      <c r="BJ32" s="803"/>
      <c r="BK32" s="803"/>
      <c r="BL32" s="803"/>
      <c r="BM32" s="803"/>
    </row>
    <row r="33" spans="1:65" ht="65.150000000000006" customHeight="1" thickBot="1">
      <c r="A33" s="724"/>
      <c r="B33" s="812"/>
      <c r="C33" s="730"/>
      <c r="D33" s="158"/>
      <c r="E33" s="158"/>
      <c r="F33" s="814"/>
      <c r="G33" s="736"/>
      <c r="H33" s="105"/>
      <c r="I33" s="161"/>
      <c r="J33" s="105"/>
      <c r="K33" s="160"/>
      <c r="L33" s="150"/>
      <c r="M33" s="727"/>
      <c r="N33" s="720"/>
      <c r="O33" s="810"/>
      <c r="P33" s="720"/>
      <c r="Q33" s="715"/>
      <c r="R33" s="713"/>
      <c r="S33" s="140"/>
      <c r="T33" s="100"/>
      <c r="U33" s="52" t="s">
        <v>467</v>
      </c>
      <c r="V33" s="145"/>
      <c r="W33" s="145"/>
      <c r="X33" s="145"/>
      <c r="Y33" s="99" t="str">
        <f t="shared" si="3"/>
        <v/>
      </c>
      <c r="Z33" s="145"/>
      <c r="AA33" s="99" t="str">
        <f t="shared" si="4"/>
        <v/>
      </c>
      <c r="AB33" s="140"/>
      <c r="AC33" s="99" t="str">
        <f t="shared" si="5"/>
        <v/>
      </c>
      <c r="AD33" s="140"/>
      <c r="AE33" s="99" t="str">
        <f t="shared" si="6"/>
        <v/>
      </c>
      <c r="AF33" s="140"/>
      <c r="AG33" s="99" t="str">
        <f t="shared" si="7"/>
        <v/>
      </c>
      <c r="AH33" s="140"/>
      <c r="AI33" s="99" t="str">
        <f t="shared" si="8"/>
        <v/>
      </c>
      <c r="AJ33" s="140"/>
      <c r="AK33" s="28" t="str">
        <f t="shared" si="0"/>
        <v/>
      </c>
      <c r="AL33" s="111" t="str">
        <f t="shared" si="11"/>
        <v/>
      </c>
      <c r="AM33" s="111" t="str">
        <f t="shared" si="9"/>
        <v/>
      </c>
      <c r="AN33" s="178"/>
      <c r="AO33" s="178"/>
      <c r="AP33" s="178"/>
      <c r="AQ33" s="178"/>
      <c r="AR33" s="178"/>
      <c r="AS33" s="178"/>
      <c r="AT33" s="178"/>
      <c r="AU33" s="179" t="str">
        <f>IFERROR(VLOOKUP(AT33,'Seguridad Información'!$I$61:$J$65,2,0),"")</f>
        <v/>
      </c>
      <c r="AV33" s="83"/>
      <c r="AW33" s="82" t="str">
        <f t="shared" si="1"/>
        <v/>
      </c>
      <c r="AX33" s="81" t="str">
        <f t="shared" si="2"/>
        <v/>
      </c>
      <c r="AY33" s="22" t="str">
        <f>IFERROR(VLOOKUP((CONCATENATE(AM33,AX33)),Listados!$U$3:$V$11,2,FALSE),"")</f>
        <v/>
      </c>
      <c r="AZ33" s="111">
        <f t="shared" si="10"/>
        <v>100</v>
      </c>
      <c r="BA33" s="717"/>
      <c r="BB33" s="761"/>
      <c r="BC33" s="142">
        <f>+IF(AND(W33="Preventivo",BB31="Fuerte"),2,IF(AND(W33="Preventivo",BB31="Moderado"),1,0))</f>
        <v>0</v>
      </c>
      <c r="BD33" s="68">
        <f>+IF(AND(W33="Detectivo/Correctivo",$BB31="Fuerte"),2,IF(AND(W33="Detectivo/Correctivo",$BB33="Moderado"),1,IF(AND(W33="Preventivo",$BB31="Fuerte"),1,0)))</f>
        <v>0</v>
      </c>
      <c r="BE33" s="142" t="e">
        <f>+N31-BC33</f>
        <v>#N/A</v>
      </c>
      <c r="BF33" s="142" t="e">
        <f>+P31-BD33</f>
        <v>#N/A</v>
      </c>
      <c r="BG33" s="713"/>
      <c r="BH33" s="713"/>
      <c r="BI33" s="713"/>
      <c r="BJ33" s="803"/>
      <c r="BK33" s="803"/>
      <c r="BL33" s="803"/>
      <c r="BM33" s="803"/>
    </row>
    <row r="34" spans="1:65" ht="65.150000000000006" customHeight="1" thickBot="1">
      <c r="A34" s="724"/>
      <c r="B34" s="812"/>
      <c r="C34" s="730"/>
      <c r="D34" s="158"/>
      <c r="E34" s="158"/>
      <c r="F34" s="814"/>
      <c r="G34" s="736"/>
      <c r="H34" s="105"/>
      <c r="I34" s="161"/>
      <c r="J34" s="105"/>
      <c r="K34" s="160"/>
      <c r="L34" s="150"/>
      <c r="M34" s="727"/>
      <c r="N34" s="720"/>
      <c r="O34" s="810"/>
      <c r="P34" s="720"/>
      <c r="Q34" s="715"/>
      <c r="R34" s="713"/>
      <c r="S34" s="140"/>
      <c r="T34" s="101"/>
      <c r="U34" s="52" t="s">
        <v>467</v>
      </c>
      <c r="V34" s="145"/>
      <c r="W34" s="145"/>
      <c r="X34" s="145"/>
      <c r="Y34" s="99" t="str">
        <f t="shared" si="3"/>
        <v/>
      </c>
      <c r="Z34" s="145"/>
      <c r="AA34" s="99" t="str">
        <f t="shared" si="4"/>
        <v/>
      </c>
      <c r="AB34" s="140"/>
      <c r="AC34" s="99" t="str">
        <f t="shared" si="5"/>
        <v/>
      </c>
      <c r="AD34" s="140"/>
      <c r="AE34" s="99" t="str">
        <f t="shared" si="6"/>
        <v/>
      </c>
      <c r="AF34" s="140"/>
      <c r="AG34" s="99" t="str">
        <f t="shared" si="7"/>
        <v/>
      </c>
      <c r="AH34" s="140"/>
      <c r="AI34" s="99" t="str">
        <f t="shared" si="8"/>
        <v/>
      </c>
      <c r="AJ34" s="140"/>
      <c r="AK34" s="28" t="str">
        <f t="shared" si="0"/>
        <v/>
      </c>
      <c r="AL34" s="111" t="str">
        <f t="shared" si="11"/>
        <v/>
      </c>
      <c r="AM34" s="111" t="str">
        <f t="shared" si="9"/>
        <v/>
      </c>
      <c r="AN34" s="178"/>
      <c r="AO34" s="178"/>
      <c r="AP34" s="178"/>
      <c r="AQ34" s="178"/>
      <c r="AR34" s="178"/>
      <c r="AS34" s="178"/>
      <c r="AT34" s="178"/>
      <c r="AU34" s="179" t="str">
        <f>IFERROR(VLOOKUP(AT34,'Seguridad Información'!$I$61:$J$65,2,0),"")</f>
        <v/>
      </c>
      <c r="AV34" s="83"/>
      <c r="AW34" s="82" t="str">
        <f t="shared" si="1"/>
        <v/>
      </c>
      <c r="AX34" s="81" t="str">
        <f t="shared" si="2"/>
        <v/>
      </c>
      <c r="AY34" s="22" t="str">
        <f>IFERROR(VLOOKUP((CONCATENATE(AM34,AX34)),Listados!$U$3:$V$11,2,FALSE),"")</f>
        <v/>
      </c>
      <c r="AZ34" s="111">
        <f t="shared" si="10"/>
        <v>100</v>
      </c>
      <c r="BA34" s="717"/>
      <c r="BB34" s="761"/>
      <c r="BC34" s="142">
        <f>+IF(AND(W34="Preventivo",BB31="Fuerte"),2,IF(AND(W34="Preventivo",BB31="Moderado"),1,0))</f>
        <v>0</v>
      </c>
      <c r="BD34" s="68">
        <f>+IF(AND(W34="Detectivo/Correctivo",$BB31="Fuerte"),2,IF(AND(W34="Detectivo/Correctivo",$BB34="Moderado"),1,IF(AND(W34="Preventivo",$BB31="Fuerte"),1,0)))</f>
        <v>0</v>
      </c>
      <c r="BE34" s="142" t="e">
        <f>+N31-BC34</f>
        <v>#N/A</v>
      </c>
      <c r="BF34" s="142" t="e">
        <f>+P31-BD34</f>
        <v>#N/A</v>
      </c>
      <c r="BG34" s="713"/>
      <c r="BH34" s="713"/>
      <c r="BI34" s="713"/>
      <c r="BJ34" s="803"/>
      <c r="BK34" s="803"/>
      <c r="BL34" s="803"/>
      <c r="BM34" s="803"/>
    </row>
    <row r="35" spans="1:65" ht="65.150000000000006" customHeight="1" thickBot="1">
      <c r="A35" s="724"/>
      <c r="B35" s="812"/>
      <c r="C35" s="730"/>
      <c r="D35" s="116"/>
      <c r="E35" s="116"/>
      <c r="F35" s="814"/>
      <c r="G35" s="736"/>
      <c r="H35" s="105"/>
      <c r="I35" s="161"/>
      <c r="J35" s="105"/>
      <c r="K35" s="29"/>
      <c r="L35" s="150"/>
      <c r="M35" s="727"/>
      <c r="N35" s="720"/>
      <c r="O35" s="810"/>
      <c r="P35" s="720"/>
      <c r="Q35" s="715"/>
      <c r="R35" s="713"/>
      <c r="S35" s="140"/>
      <c r="T35" s="180"/>
      <c r="U35" s="52" t="s">
        <v>467</v>
      </c>
      <c r="V35" s="145"/>
      <c r="W35" s="145"/>
      <c r="X35" s="145"/>
      <c r="Y35" s="99" t="str">
        <f t="shared" si="3"/>
        <v/>
      </c>
      <c r="Z35" s="145"/>
      <c r="AA35" s="99" t="str">
        <f t="shared" si="4"/>
        <v/>
      </c>
      <c r="AB35" s="140"/>
      <c r="AC35" s="99" t="str">
        <f t="shared" si="5"/>
        <v/>
      </c>
      <c r="AD35" s="140"/>
      <c r="AE35" s="99" t="str">
        <f t="shared" si="6"/>
        <v/>
      </c>
      <c r="AF35" s="140"/>
      <c r="AG35" s="99" t="str">
        <f t="shared" si="7"/>
        <v/>
      </c>
      <c r="AH35" s="140"/>
      <c r="AI35" s="99" t="str">
        <f t="shared" si="8"/>
        <v/>
      </c>
      <c r="AJ35" s="140"/>
      <c r="AK35" s="28" t="str">
        <f t="shared" si="0"/>
        <v/>
      </c>
      <c r="AL35" s="111" t="str">
        <f t="shared" si="11"/>
        <v/>
      </c>
      <c r="AM35" s="111" t="str">
        <f t="shared" si="9"/>
        <v/>
      </c>
      <c r="AN35" s="178"/>
      <c r="AO35" s="178"/>
      <c r="AP35" s="178"/>
      <c r="AQ35" s="178"/>
      <c r="AR35" s="178"/>
      <c r="AS35" s="178"/>
      <c r="AT35" s="178"/>
      <c r="AU35" s="179" t="str">
        <f>IFERROR(VLOOKUP(AT35,'Seguridad Información'!$I$61:$J$65,2,0),"")</f>
        <v/>
      </c>
      <c r="AV35" s="83"/>
      <c r="AW35" s="82" t="str">
        <f t="shared" si="1"/>
        <v/>
      </c>
      <c r="AX35" s="81" t="str">
        <f t="shared" si="2"/>
        <v/>
      </c>
      <c r="AY35" s="22" t="str">
        <f>IFERROR(VLOOKUP((CONCATENATE(AM35,AX35)),Listados!$U$3:$V$11,2,FALSE),"")</f>
        <v/>
      </c>
      <c r="AZ35" s="111">
        <f t="shared" si="10"/>
        <v>100</v>
      </c>
      <c r="BA35" s="717"/>
      <c r="BB35" s="761"/>
      <c r="BC35" s="142">
        <f>+IF(AND(W35="Preventivo",BB31="Fuerte"),2,IF(AND(W35="Preventivo",BB31="Moderado"),1,0))</f>
        <v>0</v>
      </c>
      <c r="BD35" s="68">
        <f>+IF(AND(W35="Detectivo/Correctivo",$BB31="Fuerte"),2,IF(AND(W35="Detectivo/Correctivo",$BB35="Moderado"),1,IF(AND(W35="Preventivo",$BB31="Fuerte"),1,0)))</f>
        <v>0</v>
      </c>
      <c r="BE35" s="142" t="e">
        <f>+N31-BC35</f>
        <v>#N/A</v>
      </c>
      <c r="BF35" s="142" t="e">
        <f>+P31-BD35</f>
        <v>#N/A</v>
      </c>
      <c r="BG35" s="713"/>
      <c r="BH35" s="713"/>
      <c r="BI35" s="713"/>
      <c r="BJ35" s="803"/>
      <c r="BK35" s="803"/>
      <c r="BL35" s="803"/>
      <c r="BM35" s="803"/>
    </row>
    <row r="36" spans="1:65" ht="65.150000000000006" customHeight="1" thickBot="1">
      <c r="A36" s="725"/>
      <c r="B36" s="812"/>
      <c r="C36" s="731"/>
      <c r="D36" s="113"/>
      <c r="E36" s="113"/>
      <c r="F36" s="815"/>
      <c r="G36" s="781"/>
      <c r="H36" s="105"/>
      <c r="I36" s="161"/>
      <c r="J36" s="105"/>
      <c r="K36" s="30"/>
      <c r="L36" s="150"/>
      <c r="M36" s="727"/>
      <c r="N36" s="721"/>
      <c r="O36" s="810"/>
      <c r="P36" s="721"/>
      <c r="Q36" s="715"/>
      <c r="R36" s="714"/>
      <c r="S36" s="140"/>
      <c r="T36" s="102"/>
      <c r="U36" s="52" t="s">
        <v>467</v>
      </c>
      <c r="V36" s="145"/>
      <c r="W36" s="145"/>
      <c r="X36" s="145"/>
      <c r="Y36" s="99" t="str">
        <f t="shared" si="3"/>
        <v/>
      </c>
      <c r="Z36" s="145"/>
      <c r="AA36" s="99" t="str">
        <f t="shared" si="4"/>
        <v/>
      </c>
      <c r="AB36" s="140"/>
      <c r="AC36" s="99" t="str">
        <f t="shared" si="5"/>
        <v/>
      </c>
      <c r="AD36" s="140"/>
      <c r="AE36" s="99" t="str">
        <f t="shared" si="6"/>
        <v/>
      </c>
      <c r="AF36" s="140"/>
      <c r="AG36" s="99" t="str">
        <f t="shared" si="7"/>
        <v/>
      </c>
      <c r="AH36" s="140"/>
      <c r="AI36" s="99" t="str">
        <f t="shared" si="8"/>
        <v/>
      </c>
      <c r="AJ36" s="140"/>
      <c r="AK36" s="28" t="str">
        <f t="shared" si="0"/>
        <v/>
      </c>
      <c r="AL36" s="111" t="str">
        <f t="shared" si="11"/>
        <v/>
      </c>
      <c r="AM36" s="111" t="str">
        <f t="shared" si="9"/>
        <v/>
      </c>
      <c r="AN36" s="178"/>
      <c r="AO36" s="178"/>
      <c r="AP36" s="178"/>
      <c r="AQ36" s="178"/>
      <c r="AR36" s="178"/>
      <c r="AS36" s="178"/>
      <c r="AT36" s="178"/>
      <c r="AU36" s="179" t="str">
        <f>IFERROR(VLOOKUP(AT36,'Seguridad Información'!$I$61:$J$65,2,0),"")</f>
        <v/>
      </c>
      <c r="AV36" s="83"/>
      <c r="AW36" s="82" t="str">
        <f t="shared" si="1"/>
        <v/>
      </c>
      <c r="AX36" s="81" t="str">
        <f t="shared" si="2"/>
        <v/>
      </c>
      <c r="AY36" s="22" t="str">
        <f>IFERROR(VLOOKUP((CONCATENATE(AM36,AX36)),Listados!$U$3:$V$11,2,FALSE),"")</f>
        <v/>
      </c>
      <c r="AZ36" s="111">
        <f t="shared" si="10"/>
        <v>100</v>
      </c>
      <c r="BA36" s="718"/>
      <c r="BB36" s="761"/>
      <c r="BC36" s="142">
        <f>+IF(AND(W36="Preventivo",BB31="Fuerte"),2,IF(AND(W36="Preventivo",BB31="Moderado"),1,0))</f>
        <v>0</v>
      </c>
      <c r="BD36" s="68">
        <f>+IF(AND(W36="Detectivo/Correctivo",$BB31="Fuerte"),2,IF(AND(W36="Detectivo/Correctivo",$BB36="Moderado"),1,IF(AND(W36="Preventivo",$BB31="Fuerte"),1,0)))</f>
        <v>0</v>
      </c>
      <c r="BE36" s="142" t="e">
        <f>+N31-BC36</f>
        <v>#N/A</v>
      </c>
      <c r="BF36" s="142" t="e">
        <f>+P31-BD36</f>
        <v>#N/A</v>
      </c>
      <c r="BG36" s="714"/>
      <c r="BH36" s="714"/>
      <c r="BI36" s="714"/>
      <c r="BJ36" s="804"/>
      <c r="BK36" s="804"/>
      <c r="BL36" s="804"/>
      <c r="BM36" s="804"/>
    </row>
    <row r="37" spans="1:65" ht="65.150000000000006" customHeight="1" thickBot="1">
      <c r="A37" s="723">
        <v>6</v>
      </c>
      <c r="B37" s="811"/>
      <c r="C37" s="729" t="str">
        <f>IFERROR(VLOOKUP(B37,Listados!B$3:C$20,2,FALSE),"")</f>
        <v/>
      </c>
      <c r="D37" s="114"/>
      <c r="E37" s="114"/>
      <c r="F37" s="813"/>
      <c r="G37" s="735"/>
      <c r="H37" s="105"/>
      <c r="I37" s="161"/>
      <c r="J37" s="105"/>
      <c r="K37" s="109"/>
      <c r="L37" s="18"/>
      <c r="M37" s="762"/>
      <c r="N37" s="719" t="e">
        <f>+VLOOKUP(M37,Listados!$K$8:$L$12,2,0)</f>
        <v>#N/A</v>
      </c>
      <c r="O37" s="809"/>
      <c r="P37" s="719" t="e">
        <f>+VLOOKUP(O37,Listados!$K$13:$L$17,2,0)</f>
        <v>#N/A</v>
      </c>
      <c r="Q37" s="714" t="str">
        <f>IF(AND(M37&lt;&gt;"",O37&lt;&gt;""),VLOOKUP(M37&amp;O37,Listados!$M$3:$N$27,2,FALSE),"")</f>
        <v/>
      </c>
      <c r="R37" s="712" t="e">
        <f>+VLOOKUP(Q37,Listados!$P$3:$Q$6,2,FALSE)</f>
        <v>#N/A</v>
      </c>
      <c r="S37" s="140"/>
      <c r="T37" s="98"/>
      <c r="U37" s="52" t="s">
        <v>467</v>
      </c>
      <c r="V37" s="145"/>
      <c r="W37" s="145"/>
      <c r="X37" s="145"/>
      <c r="Y37" s="99" t="str">
        <f t="shared" si="3"/>
        <v/>
      </c>
      <c r="Z37" s="145"/>
      <c r="AA37" s="99" t="str">
        <f t="shared" si="4"/>
        <v/>
      </c>
      <c r="AB37" s="140"/>
      <c r="AC37" s="99" t="str">
        <f t="shared" si="5"/>
        <v/>
      </c>
      <c r="AD37" s="140"/>
      <c r="AE37" s="99" t="str">
        <f t="shared" si="6"/>
        <v/>
      </c>
      <c r="AF37" s="140"/>
      <c r="AG37" s="99" t="str">
        <f t="shared" si="7"/>
        <v/>
      </c>
      <c r="AH37" s="140"/>
      <c r="AI37" s="99" t="str">
        <f t="shared" si="8"/>
        <v/>
      </c>
      <c r="AJ37" s="140"/>
      <c r="AK37" s="28" t="str">
        <f t="shared" si="0"/>
        <v/>
      </c>
      <c r="AL37" s="111" t="str">
        <f t="shared" si="11"/>
        <v/>
      </c>
      <c r="AM37" s="111" t="str">
        <f t="shared" si="9"/>
        <v/>
      </c>
      <c r="AN37" s="178"/>
      <c r="AO37" s="178"/>
      <c r="AP37" s="178"/>
      <c r="AQ37" s="178"/>
      <c r="AR37" s="178"/>
      <c r="AS37" s="178"/>
      <c r="AT37" s="178"/>
      <c r="AU37" s="179" t="str">
        <f>IFERROR(VLOOKUP(AT37,'Seguridad Información'!$I$61:$J$65,2,0),"")</f>
        <v/>
      </c>
      <c r="AV37" s="83"/>
      <c r="AW37" s="82" t="str">
        <f t="shared" si="1"/>
        <v/>
      </c>
      <c r="AX37" s="81" t="str">
        <f t="shared" si="2"/>
        <v/>
      </c>
      <c r="AY37" s="22" t="str">
        <f>IFERROR(VLOOKUP((CONCATENATE(AM37,AX37)),Listados!$U$3:$V$11,2,FALSE),"")</f>
        <v/>
      </c>
      <c r="AZ37" s="111">
        <f t="shared" si="10"/>
        <v>100</v>
      </c>
      <c r="BA37" s="716">
        <f>AVERAGE(AZ37:AZ42)</f>
        <v>100</v>
      </c>
      <c r="BB37" s="718" t="str">
        <f>IF(BA37&lt;=50, "Débil", IF(BA37&lt;=99,"Moderado","Fuerte"))</f>
        <v>Fuerte</v>
      </c>
      <c r="BC37" s="142">
        <f>+IF(AND(W37="Preventivo",BB37="Fuerte"),2,IF(AND(W37="Preventivo",BB37="Moderado"),1,0))</f>
        <v>0</v>
      </c>
      <c r="BD37" s="68">
        <f>+IF(AND(W37="Detectivo/Correctivo",$BB37="Fuerte"),2,IF(AND(W37="Detectivo/Correctivo",$BB37="Moderado"),1,IF(AND(W37="Preventivo",$BB37="Fuerte"),1,0)))</f>
        <v>0</v>
      </c>
      <c r="BE37" s="142" t="e">
        <f>+N37-BC37</f>
        <v>#N/A</v>
      </c>
      <c r="BF37" s="142" t="e">
        <f>+P37-BD37</f>
        <v>#N/A</v>
      </c>
      <c r="BG37" s="712" t="e">
        <f>+VLOOKUP(MIN(BE37,BE38,BE39,BE40,BE41,BE42),Listados!$J$18:$K$24,2,TRUE)</f>
        <v>#N/A</v>
      </c>
      <c r="BH37" s="712" t="e">
        <f>+VLOOKUP(MIN(BF37,BF38,BF39,BF40,BF41,BF42),Listados!$J$26:$K$32,2,TRUE)</f>
        <v>#N/A</v>
      </c>
      <c r="BI37" s="712" t="e">
        <f>IF(AND(BG37&lt;&gt;"",BH37&lt;&gt;""),VLOOKUP(BG37&amp;BH37,Listados!$M$3:$N$27,2,FALSE),"")</f>
        <v>#N/A</v>
      </c>
      <c r="BJ37" s="802" t="e">
        <f>+IF($R37="Asumir el riesgo","NA","")</f>
        <v>#N/A</v>
      </c>
      <c r="BK37" s="802" t="e">
        <f>+IF($R37="Asumir el riesgo","NA","")</f>
        <v>#N/A</v>
      </c>
      <c r="BL37" s="802" t="e">
        <f>+IF($R37="Asumir el riesgo","NA","")</f>
        <v>#N/A</v>
      </c>
      <c r="BM37" s="802" t="e">
        <f>+IF($R37="Asumir el riesgo","NA","")</f>
        <v>#N/A</v>
      </c>
    </row>
    <row r="38" spans="1:65" ht="65.150000000000006" customHeight="1" thickBot="1">
      <c r="A38" s="724"/>
      <c r="B38" s="812"/>
      <c r="C38" s="730"/>
      <c r="D38" s="158"/>
      <c r="E38" s="158"/>
      <c r="F38" s="814"/>
      <c r="G38" s="736"/>
      <c r="H38" s="105"/>
      <c r="I38" s="161"/>
      <c r="J38" s="105"/>
      <c r="K38" s="160"/>
      <c r="L38" s="150"/>
      <c r="M38" s="727"/>
      <c r="N38" s="720"/>
      <c r="O38" s="810"/>
      <c r="P38" s="720"/>
      <c r="Q38" s="715"/>
      <c r="R38" s="713"/>
      <c r="S38" s="140"/>
      <c r="T38" s="180"/>
      <c r="U38" s="52" t="s">
        <v>467</v>
      </c>
      <c r="V38" s="145"/>
      <c r="W38" s="145"/>
      <c r="X38" s="145"/>
      <c r="Y38" s="99" t="str">
        <f t="shared" si="3"/>
        <v/>
      </c>
      <c r="Z38" s="145"/>
      <c r="AA38" s="99" t="str">
        <f t="shared" si="4"/>
        <v/>
      </c>
      <c r="AB38" s="140"/>
      <c r="AC38" s="99" t="str">
        <f t="shared" si="5"/>
        <v/>
      </c>
      <c r="AD38" s="140"/>
      <c r="AE38" s="99" t="str">
        <f t="shared" si="6"/>
        <v/>
      </c>
      <c r="AF38" s="140"/>
      <c r="AG38" s="99" t="str">
        <f t="shared" si="7"/>
        <v/>
      </c>
      <c r="AH38" s="140"/>
      <c r="AI38" s="99" t="str">
        <f t="shared" si="8"/>
        <v/>
      </c>
      <c r="AJ38" s="140"/>
      <c r="AK38" s="28" t="str">
        <f t="shared" si="0"/>
        <v/>
      </c>
      <c r="AL38" s="111" t="str">
        <f t="shared" si="11"/>
        <v/>
      </c>
      <c r="AM38" s="111" t="str">
        <f t="shared" si="9"/>
        <v/>
      </c>
      <c r="AN38" s="178"/>
      <c r="AO38" s="178"/>
      <c r="AP38" s="178"/>
      <c r="AQ38" s="178"/>
      <c r="AR38" s="178"/>
      <c r="AS38" s="178"/>
      <c r="AT38" s="178"/>
      <c r="AU38" s="179" t="str">
        <f>IFERROR(VLOOKUP(AT38,'Seguridad Información'!$I$61:$J$65,2,0),"")</f>
        <v/>
      </c>
      <c r="AV38" s="83"/>
      <c r="AW38" s="82" t="str">
        <f t="shared" si="1"/>
        <v/>
      </c>
      <c r="AX38" s="81" t="str">
        <f t="shared" si="2"/>
        <v/>
      </c>
      <c r="AY38" s="22" t="str">
        <f>IFERROR(VLOOKUP((CONCATENATE(AM38,AX38)),Listados!$U$3:$V$11,2,FALSE),"")</f>
        <v/>
      </c>
      <c r="AZ38" s="111">
        <f t="shared" si="10"/>
        <v>100</v>
      </c>
      <c r="BA38" s="717"/>
      <c r="BB38" s="761"/>
      <c r="BC38" s="142">
        <f>+IF(AND(W38="Preventivo",BB37="Fuerte"),2,IF(AND(W38="Preventivo",BB37="Moderado"),1,0))</f>
        <v>0</v>
      </c>
      <c r="BD38" s="68">
        <f>+IF(AND(W38="Detectivo/Correctivo",$BB37="Fuerte"),2,IF(AND(W38="Detectivo/Correctivo",$BB38="Moderado"),1,IF(AND(W38="Preventivo",$BB37="Fuerte"),1,0)))</f>
        <v>0</v>
      </c>
      <c r="BE38" s="142" t="e">
        <f>+N37-BC38</f>
        <v>#N/A</v>
      </c>
      <c r="BF38" s="142" t="e">
        <f>+P37-BD38</f>
        <v>#N/A</v>
      </c>
      <c r="BG38" s="713"/>
      <c r="BH38" s="713"/>
      <c r="BI38" s="713"/>
      <c r="BJ38" s="803"/>
      <c r="BK38" s="803"/>
      <c r="BL38" s="803"/>
      <c r="BM38" s="803"/>
    </row>
    <row r="39" spans="1:65" ht="65.150000000000006" customHeight="1" thickBot="1">
      <c r="A39" s="724"/>
      <c r="B39" s="812"/>
      <c r="C39" s="730"/>
      <c r="D39" s="158"/>
      <c r="E39" s="158"/>
      <c r="F39" s="814"/>
      <c r="G39" s="736"/>
      <c r="H39" s="105"/>
      <c r="I39" s="161"/>
      <c r="J39" s="105"/>
      <c r="K39" s="160"/>
      <c r="L39" s="150"/>
      <c r="M39" s="727"/>
      <c r="N39" s="720"/>
      <c r="O39" s="810"/>
      <c r="P39" s="720"/>
      <c r="Q39" s="715"/>
      <c r="R39" s="713"/>
      <c r="S39" s="140"/>
      <c r="T39" s="100"/>
      <c r="U39" s="52" t="s">
        <v>467</v>
      </c>
      <c r="V39" s="145"/>
      <c r="W39" s="145"/>
      <c r="X39" s="145"/>
      <c r="Y39" s="99" t="str">
        <f t="shared" si="3"/>
        <v/>
      </c>
      <c r="Z39" s="145"/>
      <c r="AA39" s="99" t="str">
        <f t="shared" si="4"/>
        <v/>
      </c>
      <c r="AB39" s="140"/>
      <c r="AC39" s="99" t="str">
        <f t="shared" si="5"/>
        <v/>
      </c>
      <c r="AD39" s="140"/>
      <c r="AE39" s="99" t="str">
        <f t="shared" si="6"/>
        <v/>
      </c>
      <c r="AF39" s="140"/>
      <c r="AG39" s="99" t="str">
        <f t="shared" si="7"/>
        <v/>
      </c>
      <c r="AH39" s="140"/>
      <c r="AI39" s="99" t="str">
        <f t="shared" si="8"/>
        <v/>
      </c>
      <c r="AJ39" s="140"/>
      <c r="AK39" s="28" t="str">
        <f t="shared" si="0"/>
        <v/>
      </c>
      <c r="AL39" s="111" t="str">
        <f t="shared" si="11"/>
        <v/>
      </c>
      <c r="AM39" s="111" t="str">
        <f t="shared" si="9"/>
        <v/>
      </c>
      <c r="AN39" s="178"/>
      <c r="AO39" s="178"/>
      <c r="AP39" s="178"/>
      <c r="AQ39" s="178"/>
      <c r="AR39" s="178"/>
      <c r="AS39" s="178"/>
      <c r="AT39" s="178"/>
      <c r="AU39" s="179" t="str">
        <f>IFERROR(VLOOKUP(AT39,'Seguridad Información'!$I$61:$J$65,2,0),"")</f>
        <v/>
      </c>
      <c r="AV39" s="83"/>
      <c r="AW39" s="82" t="str">
        <f t="shared" si="1"/>
        <v/>
      </c>
      <c r="AX39" s="81" t="str">
        <f t="shared" si="2"/>
        <v/>
      </c>
      <c r="AY39" s="22" t="str">
        <f>IFERROR(VLOOKUP((CONCATENATE(AM39,AX39)),Listados!$U$3:$V$11,2,FALSE),"")</f>
        <v/>
      </c>
      <c r="AZ39" s="111">
        <f t="shared" si="10"/>
        <v>100</v>
      </c>
      <c r="BA39" s="717"/>
      <c r="BB39" s="761"/>
      <c r="BC39" s="142">
        <f>+IF(AND(W39="Preventivo",BB37="Fuerte"),2,IF(AND(W39="Preventivo",BB37="Moderado"),1,0))</f>
        <v>0</v>
      </c>
      <c r="BD39" s="68">
        <f>+IF(AND(W39="Detectivo/Correctivo",$BB37="Fuerte"),2,IF(AND(W39="Detectivo/Correctivo",$BB39="Moderado"),1,IF(AND(W39="Preventivo",$BB37="Fuerte"),1,0)))</f>
        <v>0</v>
      </c>
      <c r="BE39" s="142" t="e">
        <f>+N37-BC39</f>
        <v>#N/A</v>
      </c>
      <c r="BF39" s="142" t="e">
        <f>+P37-BD39</f>
        <v>#N/A</v>
      </c>
      <c r="BG39" s="713"/>
      <c r="BH39" s="713"/>
      <c r="BI39" s="713"/>
      <c r="BJ39" s="803"/>
      <c r="BK39" s="803"/>
      <c r="BL39" s="803"/>
      <c r="BM39" s="803"/>
    </row>
    <row r="40" spans="1:65" ht="65.150000000000006" customHeight="1" thickBot="1">
      <c r="A40" s="724"/>
      <c r="B40" s="812"/>
      <c r="C40" s="730"/>
      <c r="D40" s="158"/>
      <c r="E40" s="158"/>
      <c r="F40" s="814"/>
      <c r="G40" s="736"/>
      <c r="H40" s="105"/>
      <c r="I40" s="161"/>
      <c r="J40" s="105"/>
      <c r="K40" s="160"/>
      <c r="L40" s="150"/>
      <c r="M40" s="727"/>
      <c r="N40" s="720"/>
      <c r="O40" s="810"/>
      <c r="P40" s="720"/>
      <c r="Q40" s="715"/>
      <c r="R40" s="713"/>
      <c r="S40" s="140"/>
      <c r="T40" s="101"/>
      <c r="U40" s="52" t="s">
        <v>467</v>
      </c>
      <c r="V40" s="145"/>
      <c r="W40" s="145"/>
      <c r="X40" s="145"/>
      <c r="Y40" s="99" t="str">
        <f t="shared" si="3"/>
        <v/>
      </c>
      <c r="Z40" s="145"/>
      <c r="AA40" s="99" t="str">
        <f t="shared" si="4"/>
        <v/>
      </c>
      <c r="AB40" s="140"/>
      <c r="AC40" s="99" t="str">
        <f t="shared" si="5"/>
        <v/>
      </c>
      <c r="AD40" s="140"/>
      <c r="AE40" s="99" t="str">
        <f t="shared" si="6"/>
        <v/>
      </c>
      <c r="AF40" s="140"/>
      <c r="AG40" s="99" t="str">
        <f t="shared" si="7"/>
        <v/>
      </c>
      <c r="AH40" s="140"/>
      <c r="AI40" s="99" t="str">
        <f t="shared" si="8"/>
        <v/>
      </c>
      <c r="AJ40" s="140"/>
      <c r="AK40" s="28" t="str">
        <f t="shared" si="0"/>
        <v/>
      </c>
      <c r="AL40" s="111" t="str">
        <f t="shared" si="11"/>
        <v/>
      </c>
      <c r="AM40" s="111" t="str">
        <f t="shared" si="9"/>
        <v/>
      </c>
      <c r="AN40" s="178"/>
      <c r="AO40" s="178"/>
      <c r="AP40" s="178"/>
      <c r="AQ40" s="178"/>
      <c r="AR40" s="178"/>
      <c r="AS40" s="178"/>
      <c r="AT40" s="178"/>
      <c r="AU40" s="179" t="str">
        <f>IFERROR(VLOOKUP(AT40,'Seguridad Información'!$I$61:$J$65,2,0),"")</f>
        <v/>
      </c>
      <c r="AV40" s="83"/>
      <c r="AW40" s="82" t="str">
        <f t="shared" si="1"/>
        <v/>
      </c>
      <c r="AX40" s="81" t="str">
        <f t="shared" si="2"/>
        <v/>
      </c>
      <c r="AY40" s="22" t="str">
        <f>IFERROR(VLOOKUP((CONCATENATE(AM40,AX40)),Listados!$U$3:$V$11,2,FALSE),"")</f>
        <v/>
      </c>
      <c r="AZ40" s="111">
        <f t="shared" si="10"/>
        <v>100</v>
      </c>
      <c r="BA40" s="717"/>
      <c r="BB40" s="761"/>
      <c r="BC40" s="142">
        <f>+IF(AND(W40="Preventivo",BB37="Fuerte"),2,IF(AND(W40="Preventivo",BB37="Moderado"),1,0))</f>
        <v>0</v>
      </c>
      <c r="BD40" s="68">
        <f>+IF(AND(W40="Detectivo/Correctivo",$BB37="Fuerte"),2,IF(AND(W40="Detectivo/Correctivo",$BB40="Moderado"),1,IF(AND(W40="Preventivo",$BB37="Fuerte"),1,0)))</f>
        <v>0</v>
      </c>
      <c r="BE40" s="142" t="e">
        <f>+N37-BC40</f>
        <v>#N/A</v>
      </c>
      <c r="BF40" s="142" t="e">
        <f>+P37-BD40</f>
        <v>#N/A</v>
      </c>
      <c r="BG40" s="713"/>
      <c r="BH40" s="713"/>
      <c r="BI40" s="713"/>
      <c r="BJ40" s="803"/>
      <c r="BK40" s="803"/>
      <c r="BL40" s="803"/>
      <c r="BM40" s="803"/>
    </row>
    <row r="41" spans="1:65" ht="65.150000000000006" customHeight="1" thickBot="1">
      <c r="A41" s="724"/>
      <c r="B41" s="812"/>
      <c r="C41" s="730"/>
      <c r="D41" s="116"/>
      <c r="E41" s="116"/>
      <c r="F41" s="814"/>
      <c r="G41" s="736"/>
      <c r="H41" s="105"/>
      <c r="I41" s="161"/>
      <c r="J41" s="105"/>
      <c r="K41" s="29"/>
      <c r="L41" s="150"/>
      <c r="M41" s="727"/>
      <c r="N41" s="720"/>
      <c r="O41" s="810"/>
      <c r="P41" s="720"/>
      <c r="Q41" s="715"/>
      <c r="R41" s="713"/>
      <c r="S41" s="140"/>
      <c r="T41" s="180"/>
      <c r="U41" s="52" t="s">
        <v>467</v>
      </c>
      <c r="V41" s="145"/>
      <c r="W41" s="145"/>
      <c r="X41" s="145"/>
      <c r="Y41" s="99" t="str">
        <f t="shared" si="3"/>
        <v/>
      </c>
      <c r="Z41" s="145"/>
      <c r="AA41" s="99" t="str">
        <f t="shared" si="4"/>
        <v/>
      </c>
      <c r="AB41" s="140"/>
      <c r="AC41" s="99" t="str">
        <f t="shared" si="5"/>
        <v/>
      </c>
      <c r="AD41" s="140"/>
      <c r="AE41" s="99" t="str">
        <f t="shared" si="6"/>
        <v/>
      </c>
      <c r="AF41" s="140"/>
      <c r="AG41" s="99" t="str">
        <f t="shared" si="7"/>
        <v/>
      </c>
      <c r="AH41" s="140"/>
      <c r="AI41" s="99" t="str">
        <f t="shared" si="8"/>
        <v/>
      </c>
      <c r="AJ41" s="140"/>
      <c r="AK41" s="28" t="str">
        <f t="shared" si="0"/>
        <v/>
      </c>
      <c r="AL41" s="111" t="str">
        <f t="shared" si="11"/>
        <v/>
      </c>
      <c r="AM41" s="111" t="str">
        <f t="shared" si="9"/>
        <v/>
      </c>
      <c r="AN41" s="178"/>
      <c r="AO41" s="178"/>
      <c r="AP41" s="178"/>
      <c r="AQ41" s="178"/>
      <c r="AR41" s="178"/>
      <c r="AS41" s="178"/>
      <c r="AT41" s="178"/>
      <c r="AU41" s="179" t="str">
        <f>IFERROR(VLOOKUP(AT41,'Seguridad Información'!$I$61:$J$65,2,0),"")</f>
        <v/>
      </c>
      <c r="AV41" s="83"/>
      <c r="AW41" s="82" t="str">
        <f t="shared" si="1"/>
        <v/>
      </c>
      <c r="AX41" s="81" t="str">
        <f t="shared" si="2"/>
        <v/>
      </c>
      <c r="AY41" s="22" t="str">
        <f>IFERROR(VLOOKUP((CONCATENATE(AM41,AX41)),Listados!$U$3:$V$11,2,FALSE),"")</f>
        <v/>
      </c>
      <c r="AZ41" s="111">
        <f t="shared" si="10"/>
        <v>100</v>
      </c>
      <c r="BA41" s="717"/>
      <c r="BB41" s="761"/>
      <c r="BC41" s="142">
        <f>+IF(AND(W41="Preventivo",BB37="Fuerte"),2,IF(AND(W41="Preventivo",BB37="Moderado"),1,0))</f>
        <v>0</v>
      </c>
      <c r="BD41" s="68">
        <f>+IF(AND(W41="Detectivo/Correctivo",$BB37="Fuerte"),2,IF(AND(W41="Detectivo/Correctivo",$BB41="Moderado"),1,IF(AND(W41="Preventivo",$BB37="Fuerte"),1,0)))</f>
        <v>0</v>
      </c>
      <c r="BE41" s="142" t="e">
        <f>+N37-BC41</f>
        <v>#N/A</v>
      </c>
      <c r="BF41" s="142" t="e">
        <f>+P37-BD41</f>
        <v>#N/A</v>
      </c>
      <c r="BG41" s="713"/>
      <c r="BH41" s="713"/>
      <c r="BI41" s="713"/>
      <c r="BJ41" s="803"/>
      <c r="BK41" s="803"/>
      <c r="BL41" s="803"/>
      <c r="BM41" s="803"/>
    </row>
    <row r="42" spans="1:65" ht="65.150000000000006" customHeight="1" thickBot="1">
      <c r="A42" s="725"/>
      <c r="B42" s="812"/>
      <c r="C42" s="731"/>
      <c r="D42" s="113"/>
      <c r="E42" s="113"/>
      <c r="F42" s="815"/>
      <c r="G42" s="781"/>
      <c r="H42" s="105"/>
      <c r="I42" s="161"/>
      <c r="J42" s="105"/>
      <c r="K42" s="30"/>
      <c r="L42" s="150"/>
      <c r="M42" s="727"/>
      <c r="N42" s="721"/>
      <c r="O42" s="810"/>
      <c r="P42" s="721"/>
      <c r="Q42" s="715"/>
      <c r="R42" s="714"/>
      <c r="S42" s="140"/>
      <c r="T42" s="102"/>
      <c r="U42" s="52" t="s">
        <v>467</v>
      </c>
      <c r="V42" s="145"/>
      <c r="W42" s="145"/>
      <c r="X42" s="145"/>
      <c r="Y42" s="99" t="str">
        <f t="shared" si="3"/>
        <v/>
      </c>
      <c r="Z42" s="145"/>
      <c r="AA42" s="99" t="str">
        <f t="shared" si="4"/>
        <v/>
      </c>
      <c r="AB42" s="140"/>
      <c r="AC42" s="99" t="str">
        <f t="shared" si="5"/>
        <v/>
      </c>
      <c r="AD42" s="140"/>
      <c r="AE42" s="99" t="str">
        <f t="shared" si="6"/>
        <v/>
      </c>
      <c r="AF42" s="140"/>
      <c r="AG42" s="99" t="str">
        <f t="shared" si="7"/>
        <v/>
      </c>
      <c r="AH42" s="140"/>
      <c r="AI42" s="99" t="str">
        <f t="shared" si="8"/>
        <v/>
      </c>
      <c r="AJ42" s="140"/>
      <c r="AK42" s="28" t="str">
        <f t="shared" si="0"/>
        <v/>
      </c>
      <c r="AL42" s="111" t="str">
        <f t="shared" si="11"/>
        <v/>
      </c>
      <c r="AM42" s="111" t="str">
        <f t="shared" si="9"/>
        <v/>
      </c>
      <c r="AN42" s="178"/>
      <c r="AO42" s="178"/>
      <c r="AP42" s="178"/>
      <c r="AQ42" s="178"/>
      <c r="AR42" s="178"/>
      <c r="AS42" s="178"/>
      <c r="AT42" s="178"/>
      <c r="AU42" s="179" t="str">
        <f>IFERROR(VLOOKUP(AT42,'Seguridad Información'!$I$61:$J$65,2,0),"")</f>
        <v/>
      </c>
      <c r="AV42" s="83"/>
      <c r="AW42" s="82" t="str">
        <f t="shared" si="1"/>
        <v/>
      </c>
      <c r="AX42" s="81" t="str">
        <f t="shared" si="2"/>
        <v/>
      </c>
      <c r="AY42" s="22" t="str">
        <f>IFERROR(VLOOKUP((CONCATENATE(AM42,AX42)),Listados!$U$3:$V$11,2,FALSE),"")</f>
        <v/>
      </c>
      <c r="AZ42" s="111">
        <f t="shared" si="10"/>
        <v>100</v>
      </c>
      <c r="BA42" s="718"/>
      <c r="BB42" s="761"/>
      <c r="BC42" s="142">
        <f>+IF(AND(W42="Preventivo",BB37="Fuerte"),2,IF(AND(W42="Preventivo",BB37="Moderado"),1,0))</f>
        <v>0</v>
      </c>
      <c r="BD42" s="68">
        <f>+IF(AND(W42="Detectivo/Correctivo",$BB37="Fuerte"),2,IF(AND(W42="Detectivo/Correctivo",$BB42="Moderado"),1,IF(AND(W42="Preventivo",$BB37="Fuerte"),1,0)))</f>
        <v>0</v>
      </c>
      <c r="BE42" s="142" t="e">
        <f>+N37-BC42</f>
        <v>#N/A</v>
      </c>
      <c r="BF42" s="142" t="e">
        <f>+P37-BD42</f>
        <v>#N/A</v>
      </c>
      <c r="BG42" s="714"/>
      <c r="BH42" s="714"/>
      <c r="BI42" s="714"/>
      <c r="BJ42" s="804"/>
      <c r="BK42" s="804"/>
      <c r="BL42" s="804"/>
      <c r="BM42" s="804"/>
    </row>
    <row r="43" spans="1:65" ht="65.150000000000006" customHeight="1" thickBot="1">
      <c r="A43" s="723">
        <v>7</v>
      </c>
      <c r="B43" s="811"/>
      <c r="C43" s="729" t="str">
        <f>IFERROR(VLOOKUP(B43,Listados!B$3:C$20,2,FALSE),"")</f>
        <v/>
      </c>
      <c r="D43" s="114"/>
      <c r="E43" s="114"/>
      <c r="F43" s="813"/>
      <c r="G43" s="735"/>
      <c r="H43" s="105"/>
      <c r="I43" s="161"/>
      <c r="J43" s="105"/>
      <c r="K43" s="109"/>
      <c r="L43" s="18"/>
      <c r="M43" s="762"/>
      <c r="N43" s="719" t="e">
        <f>+VLOOKUP(M43,Listados!$K$8:$L$12,2,0)</f>
        <v>#N/A</v>
      </c>
      <c r="O43" s="809"/>
      <c r="P43" s="719" t="e">
        <f>+VLOOKUP(O43,Listados!$K$13:$L$17,2,0)</f>
        <v>#N/A</v>
      </c>
      <c r="Q43" s="714" t="str">
        <f>IF(AND(M43&lt;&gt;"",O43&lt;&gt;""),VLOOKUP(M43&amp;O43,Listados!$M$3:$N$27,2,FALSE),"")</f>
        <v/>
      </c>
      <c r="R43" s="712" t="e">
        <f>+VLOOKUP(Q43,Listados!$P$3:$Q$6,2,FALSE)</f>
        <v>#N/A</v>
      </c>
      <c r="S43" s="140"/>
      <c r="T43" s="98"/>
      <c r="U43" s="52" t="s">
        <v>467</v>
      </c>
      <c r="V43" s="145"/>
      <c r="W43" s="145"/>
      <c r="X43" s="145"/>
      <c r="Y43" s="99" t="str">
        <f t="shared" si="3"/>
        <v/>
      </c>
      <c r="Z43" s="145"/>
      <c r="AA43" s="99" t="str">
        <f t="shared" si="4"/>
        <v/>
      </c>
      <c r="AB43" s="140"/>
      <c r="AC43" s="99" t="str">
        <f t="shared" si="5"/>
        <v/>
      </c>
      <c r="AD43" s="140"/>
      <c r="AE43" s="99" t="str">
        <f t="shared" si="6"/>
        <v/>
      </c>
      <c r="AF43" s="140"/>
      <c r="AG43" s="99" t="str">
        <f t="shared" si="7"/>
        <v/>
      </c>
      <c r="AH43" s="140"/>
      <c r="AI43" s="99" t="str">
        <f t="shared" si="8"/>
        <v/>
      </c>
      <c r="AJ43" s="140"/>
      <c r="AK43" s="28" t="str">
        <f t="shared" si="0"/>
        <v/>
      </c>
      <c r="AL43" s="111" t="str">
        <f t="shared" si="11"/>
        <v/>
      </c>
      <c r="AM43" s="111" t="str">
        <f t="shared" si="9"/>
        <v/>
      </c>
      <c r="AN43" s="178"/>
      <c r="AO43" s="178"/>
      <c r="AP43" s="178"/>
      <c r="AQ43" s="178"/>
      <c r="AR43" s="178"/>
      <c r="AS43" s="178"/>
      <c r="AT43" s="178"/>
      <c r="AU43" s="179" t="str">
        <f>IFERROR(VLOOKUP(AT43,'Seguridad Información'!$I$61:$J$65,2,0),"")</f>
        <v/>
      </c>
      <c r="AV43" s="83"/>
      <c r="AW43" s="82" t="str">
        <f t="shared" si="1"/>
        <v/>
      </c>
      <c r="AX43" s="81" t="str">
        <f t="shared" si="2"/>
        <v/>
      </c>
      <c r="AY43" s="22" t="str">
        <f>IFERROR(VLOOKUP((CONCATENATE(AM43,AX43)),Listados!$U$3:$V$11,2,FALSE),"")</f>
        <v/>
      </c>
      <c r="AZ43" s="111">
        <f t="shared" si="10"/>
        <v>100</v>
      </c>
      <c r="BA43" s="716">
        <f>AVERAGE(AZ43:AZ48)</f>
        <v>100</v>
      </c>
      <c r="BB43" s="718" t="str">
        <f>IF(BA43&lt;=50, "Débil", IF(BA43&lt;=99,"Moderado","Fuerte"))</f>
        <v>Fuerte</v>
      </c>
      <c r="BC43" s="142">
        <f>+IF(AND(W43="Preventivo",BB43="Fuerte"),2,IF(AND(W43="Preventivo",BB43="Moderado"),1,0))</f>
        <v>0</v>
      </c>
      <c r="BD43" s="68">
        <f>+IF(AND(W43="Detectivo/Correctivo",$BB43="Fuerte"),2,IF(AND(W43="Detectivo/Correctivo",$BB43="Moderado"),1,IF(AND(W43="Preventivo",$BB43="Fuerte"),1,0)))</f>
        <v>0</v>
      </c>
      <c r="BE43" s="142" t="e">
        <f>+N43-BC43</f>
        <v>#N/A</v>
      </c>
      <c r="BF43" s="142" t="e">
        <f>+P43-BD43</f>
        <v>#N/A</v>
      </c>
      <c r="BG43" s="712" t="e">
        <f>+VLOOKUP(MIN(BE43,BE44,BE45,BE46,BE47,BE48),Listados!$J$18:$K$24,2,TRUE)</f>
        <v>#N/A</v>
      </c>
      <c r="BH43" s="712" t="e">
        <f>+VLOOKUP(MIN(BF43,BF44,BF45,BF46,BF47,BF48),Listados!$J$26:$K$32,2,TRUE)</f>
        <v>#N/A</v>
      </c>
      <c r="BI43" s="712" t="e">
        <f>IF(AND(BG43&lt;&gt;"",BH43&lt;&gt;""),VLOOKUP(BG43&amp;BH43,Listados!$M$3:$N$27,2,FALSE),"")</f>
        <v>#N/A</v>
      </c>
      <c r="BJ43" s="802" t="e">
        <f>+IF($R43="Asumir el riesgo","NA","")</f>
        <v>#N/A</v>
      </c>
      <c r="BK43" s="802" t="e">
        <f>+IF($R43="Asumir el riesgo","NA","")</f>
        <v>#N/A</v>
      </c>
      <c r="BL43" s="802" t="e">
        <f>+IF($R43="Asumir el riesgo","NA","")</f>
        <v>#N/A</v>
      </c>
      <c r="BM43" s="802" t="e">
        <f>+IF($R43="Asumir el riesgo","NA","")</f>
        <v>#N/A</v>
      </c>
    </row>
    <row r="44" spans="1:65" ht="65.150000000000006" customHeight="1" thickBot="1">
      <c r="A44" s="724"/>
      <c r="B44" s="812"/>
      <c r="C44" s="730"/>
      <c r="D44" s="158"/>
      <c r="E44" s="158"/>
      <c r="F44" s="814"/>
      <c r="G44" s="736"/>
      <c r="H44" s="105"/>
      <c r="I44" s="161"/>
      <c r="J44" s="105"/>
      <c r="K44" s="160"/>
      <c r="L44" s="150"/>
      <c r="M44" s="727"/>
      <c r="N44" s="720"/>
      <c r="O44" s="810"/>
      <c r="P44" s="720"/>
      <c r="Q44" s="715"/>
      <c r="R44" s="713"/>
      <c r="S44" s="140"/>
      <c r="T44" s="180"/>
      <c r="U44" s="52" t="s">
        <v>467</v>
      </c>
      <c r="V44" s="145"/>
      <c r="W44" s="145"/>
      <c r="X44" s="145"/>
      <c r="Y44" s="99" t="str">
        <f t="shared" si="3"/>
        <v/>
      </c>
      <c r="Z44" s="145"/>
      <c r="AA44" s="99" t="str">
        <f t="shared" si="4"/>
        <v/>
      </c>
      <c r="AB44" s="140"/>
      <c r="AC44" s="99" t="str">
        <f t="shared" si="5"/>
        <v/>
      </c>
      <c r="AD44" s="140"/>
      <c r="AE44" s="99" t="str">
        <f t="shared" si="6"/>
        <v/>
      </c>
      <c r="AF44" s="140"/>
      <c r="AG44" s="99" t="str">
        <f t="shared" si="7"/>
        <v/>
      </c>
      <c r="AH44" s="140"/>
      <c r="AI44" s="99" t="str">
        <f t="shared" si="8"/>
        <v/>
      </c>
      <c r="AJ44" s="140"/>
      <c r="AK44" s="28" t="str">
        <f t="shared" si="0"/>
        <v/>
      </c>
      <c r="AL44" s="111" t="str">
        <f t="shared" si="11"/>
        <v/>
      </c>
      <c r="AM44" s="111" t="str">
        <f t="shared" si="9"/>
        <v/>
      </c>
      <c r="AN44" s="178"/>
      <c r="AO44" s="178"/>
      <c r="AP44" s="178"/>
      <c r="AQ44" s="178"/>
      <c r="AR44" s="178"/>
      <c r="AS44" s="178"/>
      <c r="AT44" s="178"/>
      <c r="AU44" s="179" t="str">
        <f>IFERROR(VLOOKUP(AT44,'Seguridad Información'!$I$61:$J$65,2,0),"")</f>
        <v/>
      </c>
      <c r="AV44" s="83"/>
      <c r="AW44" s="82" t="str">
        <f t="shared" si="1"/>
        <v/>
      </c>
      <c r="AX44" s="81" t="str">
        <f t="shared" si="2"/>
        <v/>
      </c>
      <c r="AY44" s="22" t="str">
        <f>IFERROR(VLOOKUP((CONCATENATE(AM44,AX44)),Listados!$U$3:$V$11,2,FALSE),"")</f>
        <v/>
      </c>
      <c r="AZ44" s="111">
        <f t="shared" si="10"/>
        <v>100</v>
      </c>
      <c r="BA44" s="717"/>
      <c r="BB44" s="761"/>
      <c r="BC44" s="142">
        <f>+IF(AND(W44="Preventivo",BB43="Fuerte"),2,IF(AND(W44="Preventivo",BB43="Moderado"),1,0))</f>
        <v>0</v>
      </c>
      <c r="BD44" s="68">
        <f>+IF(AND(W44="Detectivo/Correctivo",$BB43="Fuerte"),2,IF(AND(W44="Detectivo/Correctivo",$BB44="Moderado"),1,IF(AND(W44="Preventivo",$BB43="Fuerte"),1,0)))</f>
        <v>0</v>
      </c>
      <c r="BE44" s="142" t="e">
        <f>+N43-BC44</f>
        <v>#N/A</v>
      </c>
      <c r="BF44" s="142" t="e">
        <f>+P43-BD44</f>
        <v>#N/A</v>
      </c>
      <c r="BG44" s="713"/>
      <c r="BH44" s="713"/>
      <c r="BI44" s="713"/>
      <c r="BJ44" s="803"/>
      <c r="BK44" s="803"/>
      <c r="BL44" s="803"/>
      <c r="BM44" s="803"/>
    </row>
    <row r="45" spans="1:65" ht="65.150000000000006" customHeight="1" thickBot="1">
      <c r="A45" s="724"/>
      <c r="B45" s="812"/>
      <c r="C45" s="730"/>
      <c r="D45" s="158"/>
      <c r="E45" s="158"/>
      <c r="F45" s="814"/>
      <c r="G45" s="736"/>
      <c r="H45" s="105"/>
      <c r="I45" s="161"/>
      <c r="J45" s="105"/>
      <c r="K45" s="160"/>
      <c r="L45" s="150"/>
      <c r="M45" s="727"/>
      <c r="N45" s="720"/>
      <c r="O45" s="810"/>
      <c r="P45" s="720"/>
      <c r="Q45" s="715"/>
      <c r="R45" s="713"/>
      <c r="S45" s="140"/>
      <c r="T45" s="100"/>
      <c r="U45" s="52" t="s">
        <v>467</v>
      </c>
      <c r="V45" s="145"/>
      <c r="W45" s="145"/>
      <c r="X45" s="145"/>
      <c r="Y45" s="99" t="str">
        <f t="shared" si="3"/>
        <v/>
      </c>
      <c r="Z45" s="145"/>
      <c r="AA45" s="99" t="str">
        <f t="shared" si="4"/>
        <v/>
      </c>
      <c r="AB45" s="140"/>
      <c r="AC45" s="99" t="str">
        <f t="shared" si="5"/>
        <v/>
      </c>
      <c r="AD45" s="140"/>
      <c r="AE45" s="99" t="str">
        <f t="shared" si="6"/>
        <v/>
      </c>
      <c r="AF45" s="140"/>
      <c r="AG45" s="99" t="str">
        <f t="shared" si="7"/>
        <v/>
      </c>
      <c r="AH45" s="140"/>
      <c r="AI45" s="99" t="str">
        <f t="shared" si="8"/>
        <v/>
      </c>
      <c r="AJ45" s="140"/>
      <c r="AK45" s="28" t="str">
        <f t="shared" si="0"/>
        <v/>
      </c>
      <c r="AL45" s="111" t="str">
        <f t="shared" si="11"/>
        <v/>
      </c>
      <c r="AM45" s="111" t="str">
        <f t="shared" si="9"/>
        <v/>
      </c>
      <c r="AN45" s="178"/>
      <c r="AO45" s="178"/>
      <c r="AP45" s="178"/>
      <c r="AQ45" s="178"/>
      <c r="AR45" s="178"/>
      <c r="AS45" s="178"/>
      <c r="AT45" s="178"/>
      <c r="AU45" s="179" t="str">
        <f>IFERROR(VLOOKUP(AT45,'Seguridad Información'!$I$61:$J$65,2,0),"")</f>
        <v/>
      </c>
      <c r="AV45" s="83"/>
      <c r="AW45" s="82" t="str">
        <f t="shared" si="1"/>
        <v/>
      </c>
      <c r="AX45" s="81" t="str">
        <f t="shared" si="2"/>
        <v/>
      </c>
      <c r="AY45" s="22" t="str">
        <f>IFERROR(VLOOKUP((CONCATENATE(AM45,AX45)),Listados!$U$3:$V$11,2,FALSE),"")</f>
        <v/>
      </c>
      <c r="AZ45" s="111">
        <f t="shared" si="10"/>
        <v>100</v>
      </c>
      <c r="BA45" s="717"/>
      <c r="BB45" s="761"/>
      <c r="BC45" s="142">
        <f>+IF(AND(W45="Preventivo",BB43="Fuerte"),2,IF(AND(W45="Preventivo",BB43="Moderado"),1,0))</f>
        <v>0</v>
      </c>
      <c r="BD45" s="68">
        <f>+IF(AND(W45="Detectivo/Correctivo",$BB43="Fuerte"),2,IF(AND(W45="Detectivo/Correctivo",$BB45="Moderado"),1,IF(AND(W45="Preventivo",$BB43="Fuerte"),1,0)))</f>
        <v>0</v>
      </c>
      <c r="BE45" s="142" t="e">
        <f>+N43-BC45</f>
        <v>#N/A</v>
      </c>
      <c r="BF45" s="142" t="e">
        <f>+P43-BD45</f>
        <v>#N/A</v>
      </c>
      <c r="BG45" s="713"/>
      <c r="BH45" s="713"/>
      <c r="BI45" s="713"/>
      <c r="BJ45" s="803"/>
      <c r="BK45" s="803"/>
      <c r="BL45" s="803"/>
      <c r="BM45" s="803"/>
    </row>
    <row r="46" spans="1:65" ht="65.150000000000006" customHeight="1" thickBot="1">
      <c r="A46" s="724"/>
      <c r="B46" s="812"/>
      <c r="C46" s="730"/>
      <c r="D46" s="158"/>
      <c r="E46" s="158"/>
      <c r="F46" s="814"/>
      <c r="G46" s="736"/>
      <c r="H46" s="105"/>
      <c r="I46" s="161"/>
      <c r="J46" s="105"/>
      <c r="K46" s="160"/>
      <c r="L46" s="150"/>
      <c r="M46" s="727"/>
      <c r="N46" s="720"/>
      <c r="O46" s="810"/>
      <c r="P46" s="720"/>
      <c r="Q46" s="715"/>
      <c r="R46" s="713"/>
      <c r="S46" s="140"/>
      <c r="T46" s="101"/>
      <c r="U46" s="52" t="s">
        <v>467</v>
      </c>
      <c r="V46" s="145"/>
      <c r="W46" s="145"/>
      <c r="X46" s="145"/>
      <c r="Y46" s="99" t="str">
        <f t="shared" si="3"/>
        <v/>
      </c>
      <c r="Z46" s="145"/>
      <c r="AA46" s="99" t="str">
        <f t="shared" si="4"/>
        <v/>
      </c>
      <c r="AB46" s="140"/>
      <c r="AC46" s="99" t="str">
        <f t="shared" si="5"/>
        <v/>
      </c>
      <c r="AD46" s="140"/>
      <c r="AE46" s="99" t="str">
        <f t="shared" si="6"/>
        <v/>
      </c>
      <c r="AF46" s="140"/>
      <c r="AG46" s="99" t="str">
        <f t="shared" si="7"/>
        <v/>
      </c>
      <c r="AH46" s="140"/>
      <c r="AI46" s="99" t="str">
        <f t="shared" si="8"/>
        <v/>
      </c>
      <c r="AJ46" s="140"/>
      <c r="AK46" s="28" t="str">
        <f t="shared" si="0"/>
        <v/>
      </c>
      <c r="AL46" s="111" t="str">
        <f t="shared" si="11"/>
        <v/>
      </c>
      <c r="AM46" s="111" t="str">
        <f t="shared" si="9"/>
        <v/>
      </c>
      <c r="AN46" s="178"/>
      <c r="AO46" s="178"/>
      <c r="AP46" s="178"/>
      <c r="AQ46" s="178"/>
      <c r="AR46" s="178"/>
      <c r="AS46" s="178"/>
      <c r="AT46" s="178"/>
      <c r="AU46" s="179" t="str">
        <f>IFERROR(VLOOKUP(AT46,'Seguridad Información'!$I$61:$J$65,2,0),"")</f>
        <v/>
      </c>
      <c r="AV46" s="83"/>
      <c r="AW46" s="82" t="str">
        <f t="shared" si="1"/>
        <v/>
      </c>
      <c r="AX46" s="81" t="str">
        <f t="shared" si="2"/>
        <v/>
      </c>
      <c r="AY46" s="22" t="str">
        <f>IFERROR(VLOOKUP((CONCATENATE(AM46,AX46)),Listados!$U$3:$V$11,2,FALSE),"")</f>
        <v/>
      </c>
      <c r="AZ46" s="111">
        <f t="shared" si="10"/>
        <v>100</v>
      </c>
      <c r="BA46" s="717"/>
      <c r="BB46" s="761"/>
      <c r="BC46" s="142">
        <f>+IF(AND(W46="Preventivo",BB43="Fuerte"),2,IF(AND(W46="Preventivo",BB43="Moderado"),1,0))</f>
        <v>0</v>
      </c>
      <c r="BD46" s="68">
        <f>+IF(AND(W46="Detectivo/Correctivo",$BB43="Fuerte"),2,IF(AND(W46="Detectivo/Correctivo",$BB46="Moderado"),1,IF(AND(W46="Preventivo",$BB43="Fuerte"),1,0)))</f>
        <v>0</v>
      </c>
      <c r="BE46" s="142" t="e">
        <f>+N43-BC46</f>
        <v>#N/A</v>
      </c>
      <c r="BF46" s="142" t="e">
        <f>+P43-BD46</f>
        <v>#N/A</v>
      </c>
      <c r="BG46" s="713"/>
      <c r="BH46" s="713"/>
      <c r="BI46" s="713"/>
      <c r="BJ46" s="803"/>
      <c r="BK46" s="803"/>
      <c r="BL46" s="803"/>
      <c r="BM46" s="803"/>
    </row>
    <row r="47" spans="1:65" ht="65.150000000000006" customHeight="1" thickBot="1">
      <c r="A47" s="724"/>
      <c r="B47" s="812"/>
      <c r="C47" s="730"/>
      <c r="D47" s="116"/>
      <c r="E47" s="116"/>
      <c r="F47" s="814"/>
      <c r="G47" s="736"/>
      <c r="H47" s="105"/>
      <c r="I47" s="161"/>
      <c r="J47" s="105"/>
      <c r="K47" s="29"/>
      <c r="L47" s="150"/>
      <c r="M47" s="727"/>
      <c r="N47" s="720"/>
      <c r="O47" s="810"/>
      <c r="P47" s="720"/>
      <c r="Q47" s="715"/>
      <c r="R47" s="713"/>
      <c r="S47" s="140"/>
      <c r="T47" s="180"/>
      <c r="U47" s="52" t="s">
        <v>467</v>
      </c>
      <c r="V47" s="145"/>
      <c r="W47" s="145"/>
      <c r="X47" s="145"/>
      <c r="Y47" s="99" t="str">
        <f t="shared" si="3"/>
        <v/>
      </c>
      <c r="Z47" s="145"/>
      <c r="AA47" s="99" t="str">
        <f t="shared" si="4"/>
        <v/>
      </c>
      <c r="AB47" s="140"/>
      <c r="AC47" s="99" t="str">
        <f t="shared" si="5"/>
        <v/>
      </c>
      <c r="AD47" s="140"/>
      <c r="AE47" s="99" t="str">
        <f t="shared" si="6"/>
        <v/>
      </c>
      <c r="AF47" s="140"/>
      <c r="AG47" s="99" t="str">
        <f t="shared" si="7"/>
        <v/>
      </c>
      <c r="AH47" s="140"/>
      <c r="AI47" s="99" t="str">
        <f t="shared" si="8"/>
        <v/>
      </c>
      <c r="AJ47" s="140"/>
      <c r="AK47" s="28" t="str">
        <f t="shared" si="0"/>
        <v/>
      </c>
      <c r="AL47" s="111" t="str">
        <f t="shared" si="11"/>
        <v/>
      </c>
      <c r="AM47" s="111" t="str">
        <f t="shared" si="9"/>
        <v/>
      </c>
      <c r="AN47" s="178"/>
      <c r="AO47" s="178"/>
      <c r="AP47" s="178"/>
      <c r="AQ47" s="178"/>
      <c r="AR47" s="178"/>
      <c r="AS47" s="178"/>
      <c r="AT47" s="178"/>
      <c r="AU47" s="179" t="str">
        <f>IFERROR(VLOOKUP(AT47,'Seguridad Información'!$I$61:$J$65,2,0),"")</f>
        <v/>
      </c>
      <c r="AV47" s="83"/>
      <c r="AW47" s="82" t="str">
        <f t="shared" si="1"/>
        <v/>
      </c>
      <c r="AX47" s="81" t="str">
        <f t="shared" si="2"/>
        <v/>
      </c>
      <c r="AY47" s="22" t="str">
        <f>IFERROR(VLOOKUP((CONCATENATE(AM47,AX47)),Listados!$U$3:$V$11,2,FALSE),"")</f>
        <v/>
      </c>
      <c r="AZ47" s="111">
        <f t="shared" si="10"/>
        <v>100</v>
      </c>
      <c r="BA47" s="717"/>
      <c r="BB47" s="761"/>
      <c r="BC47" s="142">
        <f>+IF(AND(W47="Preventivo",BB43="Fuerte"),2,IF(AND(W47="Preventivo",BB43="Moderado"),1,0))</f>
        <v>0</v>
      </c>
      <c r="BD47" s="68">
        <f>+IF(AND(W47="Detectivo/Correctivo",$BB43="Fuerte"),2,IF(AND(W47="Detectivo/Correctivo",$BB47="Moderado"),1,IF(AND(W47="Preventivo",$BB43="Fuerte"),1,0)))</f>
        <v>0</v>
      </c>
      <c r="BE47" s="142" t="e">
        <f>+N43-BC47</f>
        <v>#N/A</v>
      </c>
      <c r="BF47" s="142" t="e">
        <f>+P43-BD47</f>
        <v>#N/A</v>
      </c>
      <c r="BG47" s="713"/>
      <c r="BH47" s="713"/>
      <c r="BI47" s="713"/>
      <c r="BJ47" s="803"/>
      <c r="BK47" s="803"/>
      <c r="BL47" s="803"/>
      <c r="BM47" s="803"/>
    </row>
    <row r="48" spans="1:65" ht="65.150000000000006" customHeight="1" thickBot="1">
      <c r="A48" s="725"/>
      <c r="B48" s="812"/>
      <c r="C48" s="731"/>
      <c r="D48" s="113"/>
      <c r="E48" s="113"/>
      <c r="F48" s="815"/>
      <c r="G48" s="781"/>
      <c r="H48" s="105"/>
      <c r="I48" s="161"/>
      <c r="J48" s="105"/>
      <c r="K48" s="30"/>
      <c r="L48" s="150"/>
      <c r="M48" s="727"/>
      <c r="N48" s="721"/>
      <c r="O48" s="810"/>
      <c r="P48" s="721"/>
      <c r="Q48" s="715"/>
      <c r="R48" s="714"/>
      <c r="S48" s="140"/>
      <c r="T48" s="102"/>
      <c r="U48" s="52" t="s">
        <v>467</v>
      </c>
      <c r="V48" s="145"/>
      <c r="W48" s="145"/>
      <c r="X48" s="145"/>
      <c r="Y48" s="99" t="str">
        <f t="shared" si="3"/>
        <v/>
      </c>
      <c r="Z48" s="145"/>
      <c r="AA48" s="99" t="str">
        <f t="shared" si="4"/>
        <v/>
      </c>
      <c r="AB48" s="140"/>
      <c r="AC48" s="99" t="str">
        <f t="shared" si="5"/>
        <v/>
      </c>
      <c r="AD48" s="140"/>
      <c r="AE48" s="99" t="str">
        <f t="shared" si="6"/>
        <v/>
      </c>
      <c r="AF48" s="140"/>
      <c r="AG48" s="99" t="str">
        <f t="shared" si="7"/>
        <v/>
      </c>
      <c r="AH48" s="140"/>
      <c r="AI48" s="99" t="str">
        <f t="shared" si="8"/>
        <v/>
      </c>
      <c r="AJ48" s="140"/>
      <c r="AK48" s="28" t="str">
        <f t="shared" si="0"/>
        <v/>
      </c>
      <c r="AL48" s="111" t="str">
        <f t="shared" si="11"/>
        <v/>
      </c>
      <c r="AM48" s="111" t="str">
        <f t="shared" si="9"/>
        <v/>
      </c>
      <c r="AN48" s="178"/>
      <c r="AO48" s="178"/>
      <c r="AP48" s="178"/>
      <c r="AQ48" s="178"/>
      <c r="AR48" s="178"/>
      <c r="AS48" s="178"/>
      <c r="AT48" s="178"/>
      <c r="AU48" s="179" t="str">
        <f>IFERROR(VLOOKUP(AT48,'Seguridad Información'!$I$61:$J$65,2,0),"")</f>
        <v/>
      </c>
      <c r="AV48" s="83"/>
      <c r="AW48" s="82" t="str">
        <f t="shared" si="1"/>
        <v/>
      </c>
      <c r="AX48" s="81" t="str">
        <f t="shared" si="2"/>
        <v/>
      </c>
      <c r="AY48" s="22" t="str">
        <f>IFERROR(VLOOKUP((CONCATENATE(AM48,AX48)),Listados!$U$3:$V$11,2,FALSE),"")</f>
        <v/>
      </c>
      <c r="AZ48" s="111">
        <f t="shared" si="10"/>
        <v>100</v>
      </c>
      <c r="BA48" s="718"/>
      <c r="BB48" s="761"/>
      <c r="BC48" s="142">
        <f>+IF(AND(W48="Preventivo",BB43="Fuerte"),2,IF(AND(W48="Preventivo",BB43="Moderado"),1,0))</f>
        <v>0</v>
      </c>
      <c r="BD48" s="68">
        <f>+IF(AND(W48="Detectivo/Correctivo",$BB43="Fuerte"),2,IF(AND(W48="Detectivo/Correctivo",$BB48="Moderado"),1,IF(AND(W48="Preventivo",$BB43="Fuerte"),1,0)))</f>
        <v>0</v>
      </c>
      <c r="BE48" s="142" t="e">
        <f>+N43-BC48</f>
        <v>#N/A</v>
      </c>
      <c r="BF48" s="142" t="e">
        <f>+P43-BD48</f>
        <v>#N/A</v>
      </c>
      <c r="BG48" s="714"/>
      <c r="BH48" s="714"/>
      <c r="BI48" s="714"/>
      <c r="BJ48" s="804"/>
      <c r="BK48" s="804"/>
      <c r="BL48" s="804"/>
      <c r="BM48" s="804"/>
    </row>
    <row r="49" spans="1:65" ht="65.150000000000006" customHeight="1" thickBot="1">
      <c r="A49" s="723">
        <v>8</v>
      </c>
      <c r="B49" s="811"/>
      <c r="C49" s="729" t="str">
        <f>IFERROR(VLOOKUP(B49,Listados!B$3:C$20,2,FALSE),"")</f>
        <v/>
      </c>
      <c r="D49" s="114"/>
      <c r="E49" s="114"/>
      <c r="F49" s="813"/>
      <c r="G49" s="735"/>
      <c r="H49" s="105"/>
      <c r="I49" s="161"/>
      <c r="J49" s="105"/>
      <c r="K49" s="109"/>
      <c r="L49" s="18"/>
      <c r="M49" s="762"/>
      <c r="N49" s="719" t="e">
        <f>+VLOOKUP(M49,Listados!$K$8:$L$12,2,0)</f>
        <v>#N/A</v>
      </c>
      <c r="O49" s="809"/>
      <c r="P49" s="719" t="e">
        <f>+VLOOKUP(O49,Listados!$K$13:$L$17,2,0)</f>
        <v>#N/A</v>
      </c>
      <c r="Q49" s="714" t="str">
        <f>IF(AND(M49&lt;&gt;"",O49&lt;&gt;""),VLOOKUP(M49&amp;O49,Listados!$M$3:$N$27,2,FALSE),"")</f>
        <v/>
      </c>
      <c r="R49" s="712" t="e">
        <f>+VLOOKUP(Q49,Listados!$P$3:$Q$6,2,FALSE)</f>
        <v>#N/A</v>
      </c>
      <c r="S49" s="140"/>
      <c r="T49" s="98"/>
      <c r="U49" s="52" t="s">
        <v>467</v>
      </c>
      <c r="V49" s="145"/>
      <c r="W49" s="145"/>
      <c r="X49" s="145"/>
      <c r="Y49" s="99" t="str">
        <f t="shared" si="3"/>
        <v/>
      </c>
      <c r="Z49" s="145"/>
      <c r="AA49" s="99" t="str">
        <f t="shared" si="4"/>
        <v/>
      </c>
      <c r="AB49" s="140"/>
      <c r="AC49" s="99" t="str">
        <f t="shared" si="5"/>
        <v/>
      </c>
      <c r="AD49" s="140"/>
      <c r="AE49" s="99" t="str">
        <f t="shared" si="6"/>
        <v/>
      </c>
      <c r="AF49" s="140"/>
      <c r="AG49" s="99" t="str">
        <f t="shared" si="7"/>
        <v/>
      </c>
      <c r="AH49" s="140"/>
      <c r="AI49" s="99" t="str">
        <f t="shared" si="8"/>
        <v/>
      </c>
      <c r="AJ49" s="140"/>
      <c r="AK49" s="28" t="str">
        <f t="shared" si="0"/>
        <v/>
      </c>
      <c r="AL49" s="111" t="str">
        <f t="shared" si="11"/>
        <v/>
      </c>
      <c r="AM49" s="111" t="str">
        <f t="shared" si="9"/>
        <v/>
      </c>
      <c r="AN49" s="178"/>
      <c r="AO49" s="178"/>
      <c r="AP49" s="178"/>
      <c r="AQ49" s="178"/>
      <c r="AR49" s="178"/>
      <c r="AS49" s="178"/>
      <c r="AT49" s="178"/>
      <c r="AU49" s="179" t="str">
        <f>IFERROR(VLOOKUP(AT49,'Seguridad Información'!$I$61:$J$65,2,0),"")</f>
        <v/>
      </c>
      <c r="AV49" s="83"/>
      <c r="AW49" s="82" t="str">
        <f t="shared" si="1"/>
        <v/>
      </c>
      <c r="AX49" s="81" t="str">
        <f t="shared" si="2"/>
        <v/>
      </c>
      <c r="AY49" s="22" t="str">
        <f>IFERROR(VLOOKUP((CONCATENATE(AM49,AX49)),Listados!$U$3:$V$11,2,FALSE),"")</f>
        <v/>
      </c>
      <c r="AZ49" s="111">
        <f t="shared" si="10"/>
        <v>100</v>
      </c>
      <c r="BA49" s="716">
        <f>AVERAGE(AZ49:AZ54)</f>
        <v>100</v>
      </c>
      <c r="BB49" s="718" t="str">
        <f>IF(BA49&lt;=50, "Débil", IF(BA49&lt;=99,"Moderado","Fuerte"))</f>
        <v>Fuerte</v>
      </c>
      <c r="BC49" s="142">
        <f>+IF(AND(W49="Preventivo",BB49="Fuerte"),2,IF(AND(W49="Preventivo",BB49="Moderado"),1,0))</f>
        <v>0</v>
      </c>
      <c r="BD49" s="68">
        <f>+IF(AND(W49="Detectivo/Correctivo",$BB49="Fuerte"),2,IF(AND(W49="Detectivo/Correctivo",$BB49="Moderado"),1,IF(AND(W49="Preventivo",$BB49="Fuerte"),1,0)))</f>
        <v>0</v>
      </c>
      <c r="BE49" s="142" t="e">
        <f>+N49-BC49</f>
        <v>#N/A</v>
      </c>
      <c r="BF49" s="142" t="e">
        <f>+P49-BD49</f>
        <v>#N/A</v>
      </c>
      <c r="BG49" s="712" t="e">
        <f>+VLOOKUP(MIN(BE49,BE50,BE51,BE52,BE53,BE54),Listados!$J$18:$K$24,2,TRUE)</f>
        <v>#N/A</v>
      </c>
      <c r="BH49" s="712" t="e">
        <f>+VLOOKUP(MIN(BF49,BF50,BF51,BF52,BF53,BF54),Listados!$J$27:$K$32,2,TRUE)</f>
        <v>#N/A</v>
      </c>
      <c r="BI49" s="712" t="e">
        <f>IF(AND(BG49&lt;&gt;"",BH49&lt;&gt;""),VLOOKUP(BG49&amp;BH49,Listados!$M$3:$N$27,2,FALSE),"")</f>
        <v>#N/A</v>
      </c>
      <c r="BJ49" s="802" t="e">
        <f>+IF($R49="Asumir el riesgo","NA","")</f>
        <v>#N/A</v>
      </c>
      <c r="BK49" s="802" t="e">
        <f>+IF($R49="Asumir el riesgo","NA","")</f>
        <v>#N/A</v>
      </c>
      <c r="BL49" s="802" t="e">
        <f>+IF($R49="Asumir el riesgo","NA","")</f>
        <v>#N/A</v>
      </c>
      <c r="BM49" s="802" t="e">
        <f>+IF($R49="Asumir el riesgo","NA","")</f>
        <v>#N/A</v>
      </c>
    </row>
    <row r="50" spans="1:65" ht="65.150000000000006" customHeight="1" thickBot="1">
      <c r="A50" s="724"/>
      <c r="B50" s="812"/>
      <c r="C50" s="730"/>
      <c r="D50" s="158"/>
      <c r="E50" s="158"/>
      <c r="F50" s="814"/>
      <c r="G50" s="736"/>
      <c r="H50" s="105"/>
      <c r="I50" s="161"/>
      <c r="J50" s="105"/>
      <c r="K50" s="160"/>
      <c r="L50" s="150"/>
      <c r="M50" s="727"/>
      <c r="N50" s="720"/>
      <c r="O50" s="810"/>
      <c r="P50" s="720"/>
      <c r="Q50" s="715"/>
      <c r="R50" s="713"/>
      <c r="S50" s="140"/>
      <c r="T50" s="180"/>
      <c r="U50" s="52" t="s">
        <v>467</v>
      </c>
      <c r="V50" s="145"/>
      <c r="W50" s="145"/>
      <c r="X50" s="145"/>
      <c r="Y50" s="99" t="str">
        <f t="shared" si="3"/>
        <v/>
      </c>
      <c r="Z50" s="145"/>
      <c r="AA50" s="99" t="str">
        <f t="shared" si="4"/>
        <v/>
      </c>
      <c r="AB50" s="140"/>
      <c r="AC50" s="99" t="str">
        <f t="shared" si="5"/>
        <v/>
      </c>
      <c r="AD50" s="140"/>
      <c r="AE50" s="99" t="str">
        <f t="shared" si="6"/>
        <v/>
      </c>
      <c r="AF50" s="140"/>
      <c r="AG50" s="99" t="str">
        <f t="shared" si="7"/>
        <v/>
      </c>
      <c r="AH50" s="140"/>
      <c r="AI50" s="99" t="str">
        <f t="shared" si="8"/>
        <v/>
      </c>
      <c r="AJ50" s="140"/>
      <c r="AK50" s="28" t="str">
        <f t="shared" si="0"/>
        <v/>
      </c>
      <c r="AL50" s="111" t="str">
        <f t="shared" si="11"/>
        <v/>
      </c>
      <c r="AM50" s="111" t="str">
        <f t="shared" si="9"/>
        <v/>
      </c>
      <c r="AN50" s="178"/>
      <c r="AO50" s="178"/>
      <c r="AP50" s="178"/>
      <c r="AQ50" s="178"/>
      <c r="AR50" s="178"/>
      <c r="AS50" s="178"/>
      <c r="AT50" s="178"/>
      <c r="AU50" s="179" t="str">
        <f>IFERROR(VLOOKUP(AT50,'Seguridad Información'!$I$61:$J$65,2,0),"")</f>
        <v/>
      </c>
      <c r="AV50" s="83"/>
      <c r="AW50" s="82" t="str">
        <f t="shared" si="1"/>
        <v/>
      </c>
      <c r="AX50" s="81" t="str">
        <f t="shared" si="2"/>
        <v/>
      </c>
      <c r="AY50" s="22" t="str">
        <f>IFERROR(VLOOKUP((CONCATENATE(AM50,AX50)),Listados!$U$3:$V$11,2,FALSE),"")</f>
        <v/>
      </c>
      <c r="AZ50" s="111">
        <f t="shared" si="10"/>
        <v>100</v>
      </c>
      <c r="BA50" s="717"/>
      <c r="BB50" s="761"/>
      <c r="BC50" s="142">
        <f>+IF(AND(W50="Preventivo",BB49="Fuerte"),2,IF(AND(W50="Preventivo",BB49="Moderado"),1,0))</f>
        <v>0</v>
      </c>
      <c r="BD50" s="68">
        <f>+IF(AND(W50="Detectivo/Correctivo",$BB49="Fuerte"),2,IF(AND(W50="Detectivo/Correctivo",$BB50="Moderado"),1,IF(AND(W50="Preventivo",$BB49="Fuerte"),1,0)))</f>
        <v>0</v>
      </c>
      <c r="BE50" s="142" t="e">
        <f>+N49-BC50</f>
        <v>#N/A</v>
      </c>
      <c r="BF50" s="142" t="e">
        <f>+P49-BD50</f>
        <v>#N/A</v>
      </c>
      <c r="BG50" s="713"/>
      <c r="BH50" s="713"/>
      <c r="BI50" s="713"/>
      <c r="BJ50" s="803"/>
      <c r="BK50" s="803"/>
      <c r="BL50" s="803"/>
      <c r="BM50" s="803"/>
    </row>
    <row r="51" spans="1:65" ht="65.150000000000006" customHeight="1" thickBot="1">
      <c r="A51" s="724"/>
      <c r="B51" s="812"/>
      <c r="C51" s="730"/>
      <c r="D51" s="158"/>
      <c r="E51" s="158"/>
      <c r="F51" s="814"/>
      <c r="G51" s="736"/>
      <c r="H51" s="105"/>
      <c r="I51" s="161"/>
      <c r="J51" s="105"/>
      <c r="K51" s="160"/>
      <c r="L51" s="150"/>
      <c r="M51" s="727"/>
      <c r="N51" s="720"/>
      <c r="O51" s="810"/>
      <c r="P51" s="720"/>
      <c r="Q51" s="715"/>
      <c r="R51" s="713"/>
      <c r="S51" s="140"/>
      <c r="T51" s="100"/>
      <c r="U51" s="52" t="s">
        <v>467</v>
      </c>
      <c r="V51" s="145"/>
      <c r="W51" s="145"/>
      <c r="X51" s="145"/>
      <c r="Y51" s="99" t="str">
        <f t="shared" si="3"/>
        <v/>
      </c>
      <c r="Z51" s="145"/>
      <c r="AA51" s="99" t="str">
        <f t="shared" si="4"/>
        <v/>
      </c>
      <c r="AB51" s="140"/>
      <c r="AC51" s="99" t="str">
        <f t="shared" si="5"/>
        <v/>
      </c>
      <c r="AD51" s="140"/>
      <c r="AE51" s="99" t="str">
        <f t="shared" si="6"/>
        <v/>
      </c>
      <c r="AF51" s="140"/>
      <c r="AG51" s="99" t="str">
        <f t="shared" si="7"/>
        <v/>
      </c>
      <c r="AH51" s="140"/>
      <c r="AI51" s="99" t="str">
        <f t="shared" si="8"/>
        <v/>
      </c>
      <c r="AJ51" s="140"/>
      <c r="AK51" s="28" t="str">
        <f t="shared" si="0"/>
        <v/>
      </c>
      <c r="AL51" s="111" t="str">
        <f t="shared" si="11"/>
        <v/>
      </c>
      <c r="AM51" s="111" t="str">
        <f t="shared" si="9"/>
        <v/>
      </c>
      <c r="AN51" s="178"/>
      <c r="AO51" s="178"/>
      <c r="AP51" s="178"/>
      <c r="AQ51" s="178"/>
      <c r="AR51" s="178"/>
      <c r="AS51" s="178"/>
      <c r="AT51" s="178"/>
      <c r="AU51" s="179" t="str">
        <f>IFERROR(VLOOKUP(AT51,'Seguridad Información'!$I$61:$J$65,2,0),"")</f>
        <v/>
      </c>
      <c r="AV51" s="83"/>
      <c r="AW51" s="82" t="str">
        <f t="shared" si="1"/>
        <v/>
      </c>
      <c r="AX51" s="81" t="str">
        <f t="shared" si="2"/>
        <v/>
      </c>
      <c r="AY51" s="22" t="str">
        <f>IFERROR(VLOOKUP((CONCATENATE(AM51,AX51)),Listados!$U$3:$V$11,2,FALSE),"")</f>
        <v/>
      </c>
      <c r="AZ51" s="111">
        <f t="shared" si="10"/>
        <v>100</v>
      </c>
      <c r="BA51" s="717"/>
      <c r="BB51" s="761"/>
      <c r="BC51" s="142">
        <f>+IF(AND(W51="Preventivo",BB49="Fuerte"),2,IF(AND(W51="Preventivo",BB49="Moderado"),1,0))</f>
        <v>0</v>
      </c>
      <c r="BD51" s="68">
        <f>+IF(AND(W51="Detectivo/Correctivo",$BB49="Fuerte"),2,IF(AND(W51="Detectivo/Correctivo",$BB51="Moderado"),1,IF(AND(W51="Preventivo",$BB49="Fuerte"),1,0)))</f>
        <v>0</v>
      </c>
      <c r="BE51" s="142" t="e">
        <f>+N49-BC51</f>
        <v>#N/A</v>
      </c>
      <c r="BF51" s="142" t="e">
        <f>+P49-BD51</f>
        <v>#N/A</v>
      </c>
      <c r="BG51" s="713"/>
      <c r="BH51" s="713"/>
      <c r="BI51" s="713"/>
      <c r="BJ51" s="803"/>
      <c r="BK51" s="803"/>
      <c r="BL51" s="803"/>
      <c r="BM51" s="803"/>
    </row>
    <row r="52" spans="1:65" ht="65.150000000000006" customHeight="1" thickBot="1">
      <c r="A52" s="724"/>
      <c r="B52" s="812"/>
      <c r="C52" s="730"/>
      <c r="D52" s="158"/>
      <c r="E52" s="158"/>
      <c r="F52" s="814"/>
      <c r="G52" s="736"/>
      <c r="H52" s="105"/>
      <c r="I52" s="161"/>
      <c r="J52" s="105"/>
      <c r="K52" s="160"/>
      <c r="L52" s="150"/>
      <c r="M52" s="727"/>
      <c r="N52" s="720"/>
      <c r="O52" s="810"/>
      <c r="P52" s="720"/>
      <c r="Q52" s="715"/>
      <c r="R52" s="713"/>
      <c r="S52" s="140"/>
      <c r="T52" s="101"/>
      <c r="U52" s="52" t="s">
        <v>467</v>
      </c>
      <c r="V52" s="145"/>
      <c r="W52" s="145"/>
      <c r="X52" s="145"/>
      <c r="Y52" s="99" t="str">
        <f t="shared" si="3"/>
        <v/>
      </c>
      <c r="Z52" s="145"/>
      <c r="AA52" s="99" t="str">
        <f t="shared" si="4"/>
        <v/>
      </c>
      <c r="AB52" s="140"/>
      <c r="AC52" s="99" t="str">
        <f t="shared" si="5"/>
        <v/>
      </c>
      <c r="AD52" s="140"/>
      <c r="AE52" s="99" t="str">
        <f t="shared" si="6"/>
        <v/>
      </c>
      <c r="AF52" s="140"/>
      <c r="AG52" s="99" t="str">
        <f t="shared" si="7"/>
        <v/>
      </c>
      <c r="AH52" s="140"/>
      <c r="AI52" s="99" t="str">
        <f t="shared" si="8"/>
        <v/>
      </c>
      <c r="AJ52" s="140"/>
      <c r="AK52" s="28" t="str">
        <f t="shared" si="0"/>
        <v/>
      </c>
      <c r="AL52" s="111" t="str">
        <f t="shared" si="11"/>
        <v/>
      </c>
      <c r="AM52" s="111" t="str">
        <f t="shared" si="9"/>
        <v/>
      </c>
      <c r="AN52" s="178"/>
      <c r="AO52" s="178"/>
      <c r="AP52" s="178"/>
      <c r="AQ52" s="178"/>
      <c r="AR52" s="178"/>
      <c r="AS52" s="178"/>
      <c r="AT52" s="178"/>
      <c r="AU52" s="179" t="str">
        <f>IFERROR(VLOOKUP(AT52,'Seguridad Información'!$I$61:$J$65,2,0),"")</f>
        <v/>
      </c>
      <c r="AV52" s="83"/>
      <c r="AW52" s="82" t="str">
        <f t="shared" si="1"/>
        <v/>
      </c>
      <c r="AX52" s="81" t="str">
        <f t="shared" si="2"/>
        <v/>
      </c>
      <c r="AY52" s="22" t="str">
        <f>IFERROR(VLOOKUP((CONCATENATE(AM52,AX52)),Listados!$U$3:$V$11,2,FALSE),"")</f>
        <v/>
      </c>
      <c r="AZ52" s="111">
        <f t="shared" si="10"/>
        <v>100</v>
      </c>
      <c r="BA52" s="717"/>
      <c r="BB52" s="761"/>
      <c r="BC52" s="142">
        <f>+IF(AND(W52="Preventivo",BB49="Fuerte"),2,IF(AND(W52="Preventivo",BB49="Moderado"),1,0))</f>
        <v>0</v>
      </c>
      <c r="BD52" s="68">
        <f>+IF(AND(W52="Detectivo/Correctivo",$BB49="Fuerte"),2,IF(AND(W52="Detectivo/Correctivo",$BB52="Moderado"),1,IF(AND(W52="Preventivo",$BB49="Fuerte"),1,0)))</f>
        <v>0</v>
      </c>
      <c r="BE52" s="142" t="e">
        <f>+N49-BC52</f>
        <v>#N/A</v>
      </c>
      <c r="BF52" s="142" t="e">
        <f>+P49-BD52</f>
        <v>#N/A</v>
      </c>
      <c r="BG52" s="713"/>
      <c r="BH52" s="713"/>
      <c r="BI52" s="713"/>
      <c r="BJ52" s="803"/>
      <c r="BK52" s="803"/>
      <c r="BL52" s="803"/>
      <c r="BM52" s="803"/>
    </row>
    <row r="53" spans="1:65" ht="65.150000000000006" customHeight="1" thickBot="1">
      <c r="A53" s="724"/>
      <c r="B53" s="812"/>
      <c r="C53" s="730"/>
      <c r="D53" s="116"/>
      <c r="E53" s="116"/>
      <c r="F53" s="814"/>
      <c r="G53" s="736"/>
      <c r="H53" s="105"/>
      <c r="I53" s="161"/>
      <c r="J53" s="105"/>
      <c r="K53" s="29"/>
      <c r="L53" s="150"/>
      <c r="M53" s="727"/>
      <c r="N53" s="720"/>
      <c r="O53" s="810"/>
      <c r="P53" s="720"/>
      <c r="Q53" s="715"/>
      <c r="R53" s="713"/>
      <c r="S53" s="140"/>
      <c r="T53" s="180"/>
      <c r="U53" s="52" t="s">
        <v>467</v>
      </c>
      <c r="V53" s="145"/>
      <c r="W53" s="145"/>
      <c r="X53" s="145"/>
      <c r="Y53" s="99" t="str">
        <f t="shared" si="3"/>
        <v/>
      </c>
      <c r="Z53" s="145"/>
      <c r="AA53" s="99" t="str">
        <f t="shared" si="4"/>
        <v/>
      </c>
      <c r="AB53" s="140"/>
      <c r="AC53" s="99" t="str">
        <f t="shared" si="5"/>
        <v/>
      </c>
      <c r="AD53" s="140"/>
      <c r="AE53" s="99" t="str">
        <f t="shared" si="6"/>
        <v/>
      </c>
      <c r="AF53" s="140"/>
      <c r="AG53" s="99" t="str">
        <f t="shared" si="7"/>
        <v/>
      </c>
      <c r="AH53" s="140"/>
      <c r="AI53" s="99" t="str">
        <f t="shared" si="8"/>
        <v/>
      </c>
      <c r="AJ53" s="140"/>
      <c r="AK53" s="28" t="str">
        <f t="shared" si="0"/>
        <v/>
      </c>
      <c r="AL53" s="111" t="str">
        <f t="shared" si="11"/>
        <v/>
      </c>
      <c r="AM53" s="111" t="str">
        <f t="shared" si="9"/>
        <v/>
      </c>
      <c r="AN53" s="178"/>
      <c r="AO53" s="178"/>
      <c r="AP53" s="178"/>
      <c r="AQ53" s="178"/>
      <c r="AR53" s="178"/>
      <c r="AS53" s="178"/>
      <c r="AT53" s="178"/>
      <c r="AU53" s="179" t="str">
        <f>IFERROR(VLOOKUP(AT53,'Seguridad Información'!$I$61:$J$65,2,0),"")</f>
        <v/>
      </c>
      <c r="AV53" s="83"/>
      <c r="AW53" s="82" t="str">
        <f t="shared" si="1"/>
        <v/>
      </c>
      <c r="AX53" s="81" t="str">
        <f t="shared" si="2"/>
        <v/>
      </c>
      <c r="AY53" s="22" t="str">
        <f>IFERROR(VLOOKUP((CONCATENATE(AM53,AX53)),Listados!$U$3:$V$11,2,FALSE),"")</f>
        <v/>
      </c>
      <c r="AZ53" s="111">
        <f t="shared" si="10"/>
        <v>100</v>
      </c>
      <c r="BA53" s="717"/>
      <c r="BB53" s="761"/>
      <c r="BC53" s="142">
        <f>+IF(AND(W53="Preventivo",BB49="Fuerte"),2,IF(AND(W53="Preventivo",BB49="Moderado"),1,0))</f>
        <v>0</v>
      </c>
      <c r="BD53" s="68">
        <f>+IF(AND(W53="Detectivo/Correctivo",$BB49="Fuerte"),2,IF(AND(W53="Detectivo/Correctivo",$BB53="Moderado"),1,IF(AND(W53="Preventivo",$BB49="Fuerte"),1,0)))</f>
        <v>0</v>
      </c>
      <c r="BE53" s="142" t="e">
        <f>+N49-BC53</f>
        <v>#N/A</v>
      </c>
      <c r="BF53" s="142" t="e">
        <f>+P49-BD53</f>
        <v>#N/A</v>
      </c>
      <c r="BG53" s="713"/>
      <c r="BH53" s="713"/>
      <c r="BI53" s="713"/>
      <c r="BJ53" s="803"/>
      <c r="BK53" s="803"/>
      <c r="BL53" s="803"/>
      <c r="BM53" s="803"/>
    </row>
    <row r="54" spans="1:65" ht="65.150000000000006" customHeight="1" thickBot="1">
      <c r="A54" s="725"/>
      <c r="B54" s="812"/>
      <c r="C54" s="731"/>
      <c r="D54" s="113"/>
      <c r="E54" s="113"/>
      <c r="F54" s="815"/>
      <c r="G54" s="781"/>
      <c r="H54" s="105"/>
      <c r="I54" s="161"/>
      <c r="J54" s="105"/>
      <c r="K54" s="30"/>
      <c r="L54" s="150"/>
      <c r="M54" s="727"/>
      <c r="N54" s="721"/>
      <c r="O54" s="810"/>
      <c r="P54" s="721"/>
      <c r="Q54" s="715"/>
      <c r="R54" s="714"/>
      <c r="S54" s="140"/>
      <c r="T54" s="102"/>
      <c r="U54" s="52" t="s">
        <v>467</v>
      </c>
      <c r="V54" s="145"/>
      <c r="W54" s="145"/>
      <c r="X54" s="145"/>
      <c r="Y54" s="99" t="str">
        <f t="shared" si="3"/>
        <v/>
      </c>
      <c r="Z54" s="145"/>
      <c r="AA54" s="99" t="str">
        <f t="shared" si="4"/>
        <v/>
      </c>
      <c r="AB54" s="140"/>
      <c r="AC54" s="99" t="str">
        <f t="shared" si="5"/>
        <v/>
      </c>
      <c r="AD54" s="140"/>
      <c r="AE54" s="99" t="str">
        <f t="shared" si="6"/>
        <v/>
      </c>
      <c r="AF54" s="140"/>
      <c r="AG54" s="99" t="str">
        <f t="shared" si="7"/>
        <v/>
      </c>
      <c r="AH54" s="140"/>
      <c r="AI54" s="99" t="str">
        <f t="shared" si="8"/>
        <v/>
      </c>
      <c r="AJ54" s="140"/>
      <c r="AK54" s="28" t="str">
        <f t="shared" si="0"/>
        <v/>
      </c>
      <c r="AL54" s="111" t="str">
        <f t="shared" si="11"/>
        <v/>
      </c>
      <c r="AM54" s="111" t="str">
        <f t="shared" si="9"/>
        <v/>
      </c>
      <c r="AN54" s="178"/>
      <c r="AO54" s="178"/>
      <c r="AP54" s="178"/>
      <c r="AQ54" s="178"/>
      <c r="AR54" s="178"/>
      <c r="AS54" s="178"/>
      <c r="AT54" s="178"/>
      <c r="AU54" s="179" t="str">
        <f>IFERROR(VLOOKUP(AT54,'Seguridad Información'!$I$61:$J$65,2,0),"")</f>
        <v/>
      </c>
      <c r="AV54" s="83"/>
      <c r="AW54" s="82" t="str">
        <f t="shared" si="1"/>
        <v/>
      </c>
      <c r="AX54" s="81" t="str">
        <f t="shared" si="2"/>
        <v/>
      </c>
      <c r="AY54" s="22" t="str">
        <f>IFERROR(VLOOKUP((CONCATENATE(AM54,AX54)),Listados!$U$3:$V$11,2,FALSE),"")</f>
        <v/>
      </c>
      <c r="AZ54" s="111">
        <f t="shared" si="10"/>
        <v>100</v>
      </c>
      <c r="BA54" s="718"/>
      <c r="BB54" s="761"/>
      <c r="BC54" s="142">
        <f>+IF(AND(W54="Preventivo",BB49="Fuerte"),2,IF(AND(W54="Preventivo",BB49="Moderado"),1,0))</f>
        <v>0</v>
      </c>
      <c r="BD54" s="68">
        <f>+IF(AND(W54="Detectivo/Correctivo",$BB49="Fuerte"),2,IF(AND(W54="Detectivo/Correctivo",$BB54="Moderado"),1,IF(AND(W54="Preventivo",$BB49="Fuerte"),1,0)))</f>
        <v>0</v>
      </c>
      <c r="BE54" s="142" t="e">
        <f>+N49-BC54</f>
        <v>#N/A</v>
      </c>
      <c r="BF54" s="142" t="e">
        <f>+P49-BD54</f>
        <v>#N/A</v>
      </c>
      <c r="BG54" s="714"/>
      <c r="BH54" s="714"/>
      <c r="BI54" s="714"/>
      <c r="BJ54" s="804"/>
      <c r="BK54" s="804"/>
      <c r="BL54" s="804"/>
      <c r="BM54" s="804"/>
    </row>
    <row r="55" spans="1:65" ht="65.150000000000006" customHeight="1" thickBot="1">
      <c r="A55" s="723">
        <v>9</v>
      </c>
      <c r="B55" s="811"/>
      <c r="C55" s="729" t="str">
        <f>IFERROR(VLOOKUP(B55,Listados!B$3:C$20,2,FALSE),"")</f>
        <v/>
      </c>
      <c r="D55" s="114"/>
      <c r="E55" s="114"/>
      <c r="F55" s="813"/>
      <c r="G55" s="735"/>
      <c r="H55" s="105"/>
      <c r="I55" s="161"/>
      <c r="J55" s="105"/>
      <c r="K55" s="109"/>
      <c r="L55" s="18"/>
      <c r="M55" s="762"/>
      <c r="N55" s="719" t="e">
        <f>+VLOOKUP(M55,Listados!$K$8:$L$12,2,0)</f>
        <v>#N/A</v>
      </c>
      <c r="O55" s="809"/>
      <c r="P55" s="719" t="e">
        <f>+VLOOKUP(O55,Listados!$K$13:$L$17,2,0)</f>
        <v>#N/A</v>
      </c>
      <c r="Q55" s="714" t="str">
        <f>IF(AND(M55&lt;&gt;"",O55&lt;&gt;""),VLOOKUP(M55&amp;O55,Listados!$M$3:$N$27,2,FALSE),"")</f>
        <v/>
      </c>
      <c r="R55" s="712" t="e">
        <f>+VLOOKUP(Q55,Listados!$P$3:$Q$6,2,FALSE)</f>
        <v>#N/A</v>
      </c>
      <c r="S55" s="140"/>
      <c r="T55" s="98"/>
      <c r="U55" s="52" t="s">
        <v>467</v>
      </c>
      <c r="V55" s="145"/>
      <c r="W55" s="145"/>
      <c r="X55" s="145"/>
      <c r="Y55" s="99" t="str">
        <f t="shared" si="3"/>
        <v/>
      </c>
      <c r="Z55" s="145"/>
      <c r="AA55" s="99" t="str">
        <f t="shared" si="4"/>
        <v/>
      </c>
      <c r="AB55" s="140"/>
      <c r="AC55" s="99" t="str">
        <f t="shared" si="5"/>
        <v/>
      </c>
      <c r="AD55" s="140"/>
      <c r="AE55" s="99" t="str">
        <f t="shared" si="6"/>
        <v/>
      </c>
      <c r="AF55" s="140"/>
      <c r="AG55" s="99" t="str">
        <f t="shared" si="7"/>
        <v/>
      </c>
      <c r="AH55" s="140"/>
      <c r="AI55" s="99" t="str">
        <f t="shared" si="8"/>
        <v/>
      </c>
      <c r="AJ55" s="140"/>
      <c r="AK55" s="28" t="str">
        <f t="shared" si="0"/>
        <v/>
      </c>
      <c r="AL55" s="111" t="str">
        <f t="shared" si="11"/>
        <v/>
      </c>
      <c r="AM55" s="111" t="str">
        <f t="shared" si="9"/>
        <v/>
      </c>
      <c r="AN55" s="178"/>
      <c r="AO55" s="178"/>
      <c r="AP55" s="178"/>
      <c r="AQ55" s="178"/>
      <c r="AR55" s="178"/>
      <c r="AS55" s="178"/>
      <c r="AT55" s="178"/>
      <c r="AU55" s="179" t="str">
        <f>IFERROR(VLOOKUP(AT55,'Seguridad Información'!$I$61:$J$65,2,0),"")</f>
        <v/>
      </c>
      <c r="AV55" s="83"/>
      <c r="AW55" s="82" t="str">
        <f t="shared" si="1"/>
        <v/>
      </c>
      <c r="AX55" s="81" t="str">
        <f t="shared" si="2"/>
        <v/>
      </c>
      <c r="AY55" s="22" t="str">
        <f>IFERROR(VLOOKUP((CONCATENATE(AM55,AX55)),Listados!$U$3:$V$11,2,FALSE),"")</f>
        <v/>
      </c>
      <c r="AZ55" s="111">
        <f t="shared" si="10"/>
        <v>100</v>
      </c>
      <c r="BA55" s="716">
        <f>AVERAGE(AZ55:AZ60)</f>
        <v>100</v>
      </c>
      <c r="BB55" s="718" t="str">
        <f>IF(BA55&lt;=50, "Débil", IF(BA55&lt;=99,"Moderado","Fuerte"))</f>
        <v>Fuerte</v>
      </c>
      <c r="BC55" s="142">
        <f>+IF(AND(W55="Preventivo",BB55="Fuerte"),2,IF(AND(W55="Preventivo",BB55="Moderado"),1,0))</f>
        <v>0</v>
      </c>
      <c r="BD55" s="68">
        <f>+IF(AND(W55="Detectivo/Correctivo",$BB55="Fuerte"),2,IF(AND(W55="Detectivo/Correctivo",$BB55="Moderado"),1,IF(AND(W55="Preventivo",$BB55="Fuerte"),1,0)))</f>
        <v>0</v>
      </c>
      <c r="BE55" s="142" t="e">
        <f>+N55-BC55</f>
        <v>#N/A</v>
      </c>
      <c r="BF55" s="142" t="e">
        <f>+P55-BD55</f>
        <v>#N/A</v>
      </c>
      <c r="BG55" s="712" t="e">
        <f>+VLOOKUP(MIN(BE55,BE56,BE57,BE58,BE59,BE60),Listados!$J$18:$K$24,2,TRUE)</f>
        <v>#N/A</v>
      </c>
      <c r="BH55" s="712" t="e">
        <f>+VLOOKUP(MIN(BF55,BF56,BF57,BF58,BF59,BF60),Listados!$J$27:$K$32,2,TRUE)</f>
        <v>#N/A</v>
      </c>
      <c r="BI55" s="712" t="e">
        <f>IF(AND(BG55&lt;&gt;"",BH55&lt;&gt;""),VLOOKUP(BG55&amp;BH55,Listados!$M$3:$N$27,2,FALSE),"")</f>
        <v>#N/A</v>
      </c>
      <c r="BJ55" s="802" t="e">
        <f>+IF($R55="Asumir el riesgo","NA","")</f>
        <v>#N/A</v>
      </c>
      <c r="BK55" s="802" t="e">
        <f>+IF($R55="Asumir el riesgo","NA","")</f>
        <v>#N/A</v>
      </c>
      <c r="BL55" s="802" t="e">
        <f>+IF($R55="Asumir el riesgo","NA","")</f>
        <v>#N/A</v>
      </c>
      <c r="BM55" s="802" t="e">
        <f>+IF($R55="Asumir el riesgo","NA","")</f>
        <v>#N/A</v>
      </c>
    </row>
    <row r="56" spans="1:65" ht="65.150000000000006" customHeight="1" thickBot="1">
      <c r="A56" s="724"/>
      <c r="B56" s="812"/>
      <c r="C56" s="730"/>
      <c r="D56" s="158"/>
      <c r="E56" s="158"/>
      <c r="F56" s="814"/>
      <c r="G56" s="736"/>
      <c r="H56" s="105"/>
      <c r="I56" s="161"/>
      <c r="J56" s="105"/>
      <c r="K56" s="160"/>
      <c r="L56" s="150"/>
      <c r="M56" s="727"/>
      <c r="N56" s="720"/>
      <c r="O56" s="810"/>
      <c r="P56" s="720"/>
      <c r="Q56" s="715"/>
      <c r="R56" s="713"/>
      <c r="S56" s="140"/>
      <c r="T56" s="180"/>
      <c r="U56" s="52" t="s">
        <v>467</v>
      </c>
      <c r="V56" s="145"/>
      <c r="W56" s="145"/>
      <c r="X56" s="145"/>
      <c r="Y56" s="99" t="str">
        <f t="shared" si="3"/>
        <v/>
      </c>
      <c r="Z56" s="145"/>
      <c r="AA56" s="99" t="str">
        <f t="shared" si="4"/>
        <v/>
      </c>
      <c r="AB56" s="140"/>
      <c r="AC56" s="99" t="str">
        <f t="shared" si="5"/>
        <v/>
      </c>
      <c r="AD56" s="140"/>
      <c r="AE56" s="99" t="str">
        <f t="shared" si="6"/>
        <v/>
      </c>
      <c r="AF56" s="140"/>
      <c r="AG56" s="99" t="str">
        <f t="shared" si="7"/>
        <v/>
      </c>
      <c r="AH56" s="140"/>
      <c r="AI56" s="99" t="str">
        <f t="shared" si="8"/>
        <v/>
      </c>
      <c r="AJ56" s="140"/>
      <c r="AK56" s="28" t="str">
        <f t="shared" si="0"/>
        <v/>
      </c>
      <c r="AL56" s="111" t="str">
        <f t="shared" si="11"/>
        <v/>
      </c>
      <c r="AM56" s="111" t="str">
        <f t="shared" si="9"/>
        <v/>
      </c>
      <c r="AN56" s="178"/>
      <c r="AO56" s="178"/>
      <c r="AP56" s="178"/>
      <c r="AQ56" s="178"/>
      <c r="AR56" s="178"/>
      <c r="AS56" s="178"/>
      <c r="AT56" s="178"/>
      <c r="AU56" s="179" t="str">
        <f>IFERROR(VLOOKUP(AT56,'Seguridad Información'!$I$61:$J$65,2,0),"")</f>
        <v/>
      </c>
      <c r="AV56" s="83"/>
      <c r="AW56" s="82" t="str">
        <f t="shared" si="1"/>
        <v/>
      </c>
      <c r="AX56" s="81" t="str">
        <f t="shared" si="2"/>
        <v/>
      </c>
      <c r="AY56" s="22" t="str">
        <f>IFERROR(VLOOKUP((CONCATENATE(AM56,AX56)),Listados!$U$3:$V$11,2,FALSE),"")</f>
        <v/>
      </c>
      <c r="AZ56" s="111">
        <f t="shared" si="10"/>
        <v>100</v>
      </c>
      <c r="BA56" s="717"/>
      <c r="BB56" s="761"/>
      <c r="BC56" s="142">
        <f>+IF(AND(W56="Preventivo",BB55="Fuerte"),2,IF(AND(W56="Preventivo",BB55="Moderado"),1,0))</f>
        <v>0</v>
      </c>
      <c r="BD56" s="68">
        <f>+IF(AND(W56="Detectivo/Correctivo",$BB55="Fuerte"),2,IF(AND(W56="Detectivo/Correctivo",$BB56="Moderado"),1,IF(AND(W56="Preventivo",$BB55="Fuerte"),1,0)))</f>
        <v>0</v>
      </c>
      <c r="BE56" s="142" t="e">
        <f>+N55-BC56</f>
        <v>#N/A</v>
      </c>
      <c r="BF56" s="142" t="e">
        <f>+P55-BD56</f>
        <v>#N/A</v>
      </c>
      <c r="BG56" s="713"/>
      <c r="BH56" s="713"/>
      <c r="BI56" s="713"/>
      <c r="BJ56" s="803"/>
      <c r="BK56" s="803"/>
      <c r="BL56" s="803"/>
      <c r="BM56" s="803"/>
    </row>
    <row r="57" spans="1:65" ht="65.150000000000006" customHeight="1" thickBot="1">
      <c r="A57" s="724"/>
      <c r="B57" s="812"/>
      <c r="C57" s="730"/>
      <c r="D57" s="158"/>
      <c r="E57" s="158"/>
      <c r="F57" s="814"/>
      <c r="G57" s="736"/>
      <c r="H57" s="105"/>
      <c r="I57" s="161"/>
      <c r="J57" s="105"/>
      <c r="K57" s="160"/>
      <c r="L57" s="150"/>
      <c r="M57" s="727"/>
      <c r="N57" s="720"/>
      <c r="O57" s="810"/>
      <c r="P57" s="720"/>
      <c r="Q57" s="715"/>
      <c r="R57" s="713"/>
      <c r="S57" s="140"/>
      <c r="T57" s="100"/>
      <c r="U57" s="52" t="s">
        <v>467</v>
      </c>
      <c r="V57" s="145"/>
      <c r="W57" s="145"/>
      <c r="X57" s="145"/>
      <c r="Y57" s="99" t="str">
        <f t="shared" si="3"/>
        <v/>
      </c>
      <c r="Z57" s="145"/>
      <c r="AA57" s="99" t="str">
        <f t="shared" si="4"/>
        <v/>
      </c>
      <c r="AB57" s="140"/>
      <c r="AC57" s="99" t="str">
        <f t="shared" si="5"/>
        <v/>
      </c>
      <c r="AD57" s="140"/>
      <c r="AE57" s="99" t="str">
        <f t="shared" si="6"/>
        <v/>
      </c>
      <c r="AF57" s="140"/>
      <c r="AG57" s="99" t="str">
        <f t="shared" si="7"/>
        <v/>
      </c>
      <c r="AH57" s="140"/>
      <c r="AI57" s="99" t="str">
        <f t="shared" si="8"/>
        <v/>
      </c>
      <c r="AJ57" s="140"/>
      <c r="AK57" s="28" t="str">
        <f t="shared" si="0"/>
        <v/>
      </c>
      <c r="AL57" s="111" t="str">
        <f t="shared" si="11"/>
        <v/>
      </c>
      <c r="AM57" s="111" t="str">
        <f t="shared" si="9"/>
        <v/>
      </c>
      <c r="AN57" s="178"/>
      <c r="AO57" s="178"/>
      <c r="AP57" s="178"/>
      <c r="AQ57" s="178"/>
      <c r="AR57" s="178"/>
      <c r="AS57" s="178"/>
      <c r="AT57" s="178"/>
      <c r="AU57" s="179" t="str">
        <f>IFERROR(VLOOKUP(AT57,'Seguridad Información'!$I$61:$J$65,2,0),"")</f>
        <v/>
      </c>
      <c r="AV57" s="83"/>
      <c r="AW57" s="82" t="str">
        <f t="shared" si="1"/>
        <v/>
      </c>
      <c r="AX57" s="81" t="str">
        <f t="shared" si="2"/>
        <v/>
      </c>
      <c r="AY57" s="22" t="str">
        <f>IFERROR(VLOOKUP((CONCATENATE(AM57,AX57)),Listados!$U$3:$V$11,2,FALSE),"")</f>
        <v/>
      </c>
      <c r="AZ57" s="111">
        <f t="shared" si="10"/>
        <v>100</v>
      </c>
      <c r="BA57" s="717"/>
      <c r="BB57" s="761"/>
      <c r="BC57" s="142">
        <f>+IF(AND(W57="Preventivo",BB55="Fuerte"),2,IF(AND(W57="Preventivo",BB55="Moderado"),1,0))</f>
        <v>0</v>
      </c>
      <c r="BD57" s="68">
        <f>+IF(AND(W57="Detectivo/Correctivo",$BB55="Fuerte"),2,IF(AND(W57="Detectivo/Correctivo",$BB57="Moderado"),1,IF(AND(W57="Preventivo",$BB55="Fuerte"),1,0)))</f>
        <v>0</v>
      </c>
      <c r="BE57" s="142" t="e">
        <f>+N55-BC57</f>
        <v>#N/A</v>
      </c>
      <c r="BF57" s="142" t="e">
        <f>+P55-BD57</f>
        <v>#N/A</v>
      </c>
      <c r="BG57" s="713"/>
      <c r="BH57" s="713"/>
      <c r="BI57" s="713"/>
      <c r="BJ57" s="803"/>
      <c r="BK57" s="803"/>
      <c r="BL57" s="803"/>
      <c r="BM57" s="803"/>
    </row>
    <row r="58" spans="1:65" ht="65.150000000000006" customHeight="1" thickBot="1">
      <c r="A58" s="724"/>
      <c r="B58" s="812"/>
      <c r="C58" s="730"/>
      <c r="D58" s="158"/>
      <c r="E58" s="158"/>
      <c r="F58" s="814"/>
      <c r="G58" s="736"/>
      <c r="H58" s="105"/>
      <c r="I58" s="161"/>
      <c r="J58" s="105"/>
      <c r="K58" s="160"/>
      <c r="L58" s="150"/>
      <c r="M58" s="727"/>
      <c r="N58" s="720"/>
      <c r="O58" s="810"/>
      <c r="P58" s="720"/>
      <c r="Q58" s="715"/>
      <c r="R58" s="713"/>
      <c r="S58" s="140"/>
      <c r="T58" s="101"/>
      <c r="U58" s="52" t="s">
        <v>467</v>
      </c>
      <c r="V58" s="145"/>
      <c r="W58" s="145"/>
      <c r="X58" s="145"/>
      <c r="Y58" s="99" t="str">
        <f t="shared" si="3"/>
        <v/>
      </c>
      <c r="Z58" s="145"/>
      <c r="AA58" s="99" t="str">
        <f t="shared" si="4"/>
        <v/>
      </c>
      <c r="AB58" s="140"/>
      <c r="AC58" s="99" t="str">
        <f t="shared" si="5"/>
        <v/>
      </c>
      <c r="AD58" s="140"/>
      <c r="AE58" s="99" t="str">
        <f t="shared" si="6"/>
        <v/>
      </c>
      <c r="AF58" s="140"/>
      <c r="AG58" s="99" t="str">
        <f t="shared" si="7"/>
        <v/>
      </c>
      <c r="AH58" s="140"/>
      <c r="AI58" s="99" t="str">
        <f t="shared" si="8"/>
        <v/>
      </c>
      <c r="AJ58" s="140"/>
      <c r="AK58" s="28" t="str">
        <f t="shared" si="0"/>
        <v/>
      </c>
      <c r="AL58" s="111" t="str">
        <f t="shared" si="11"/>
        <v/>
      </c>
      <c r="AM58" s="111" t="str">
        <f t="shared" si="9"/>
        <v/>
      </c>
      <c r="AN58" s="178"/>
      <c r="AO58" s="178"/>
      <c r="AP58" s="178"/>
      <c r="AQ58" s="178"/>
      <c r="AR58" s="178"/>
      <c r="AS58" s="178"/>
      <c r="AT58" s="178"/>
      <c r="AU58" s="179" t="str">
        <f>IFERROR(VLOOKUP(AT58,'Seguridad Información'!$I$61:$J$65,2,0),"")</f>
        <v/>
      </c>
      <c r="AV58" s="83"/>
      <c r="AW58" s="82" t="str">
        <f t="shared" si="1"/>
        <v/>
      </c>
      <c r="AX58" s="81" t="str">
        <f t="shared" si="2"/>
        <v/>
      </c>
      <c r="AY58" s="22" t="str">
        <f>IFERROR(VLOOKUP((CONCATENATE(AM58,AX58)),Listados!$U$3:$V$11,2,FALSE),"")</f>
        <v/>
      </c>
      <c r="AZ58" s="111">
        <f t="shared" si="10"/>
        <v>100</v>
      </c>
      <c r="BA58" s="717"/>
      <c r="BB58" s="761"/>
      <c r="BC58" s="142">
        <f>+IF(AND(W58="Preventivo",BB55="Fuerte"),2,IF(AND(W58="Preventivo",BB55="Moderado"),1,0))</f>
        <v>0</v>
      </c>
      <c r="BD58" s="68">
        <f>+IF(AND(W58="Detectivo/Correctivo",$BB55="Fuerte"),2,IF(AND(W58="Detectivo/Correctivo",$BB58="Moderado"),1,IF(AND(W58="Preventivo",$BB55="Fuerte"),1,0)))</f>
        <v>0</v>
      </c>
      <c r="BE58" s="142" t="e">
        <f>+N55-BC58</f>
        <v>#N/A</v>
      </c>
      <c r="BF58" s="142" t="e">
        <f>+P55-BD58</f>
        <v>#N/A</v>
      </c>
      <c r="BG58" s="713"/>
      <c r="BH58" s="713"/>
      <c r="BI58" s="713"/>
      <c r="BJ58" s="803"/>
      <c r="BK58" s="803"/>
      <c r="BL58" s="803"/>
      <c r="BM58" s="803"/>
    </row>
    <row r="59" spans="1:65" ht="65.150000000000006" customHeight="1" thickBot="1">
      <c r="A59" s="724"/>
      <c r="B59" s="812"/>
      <c r="C59" s="730"/>
      <c r="D59" s="116"/>
      <c r="E59" s="116"/>
      <c r="F59" s="814"/>
      <c r="G59" s="736"/>
      <c r="H59" s="105"/>
      <c r="I59" s="161"/>
      <c r="J59" s="105"/>
      <c r="K59" s="29"/>
      <c r="L59" s="150"/>
      <c r="M59" s="727"/>
      <c r="N59" s="720"/>
      <c r="O59" s="810"/>
      <c r="P59" s="720"/>
      <c r="Q59" s="715"/>
      <c r="R59" s="713"/>
      <c r="S59" s="140"/>
      <c r="T59" s="180"/>
      <c r="U59" s="52" t="s">
        <v>467</v>
      </c>
      <c r="V59" s="145"/>
      <c r="W59" s="145"/>
      <c r="X59" s="145"/>
      <c r="Y59" s="99" t="str">
        <f t="shared" si="3"/>
        <v/>
      </c>
      <c r="Z59" s="145"/>
      <c r="AA59" s="99" t="str">
        <f t="shared" si="4"/>
        <v/>
      </c>
      <c r="AB59" s="140"/>
      <c r="AC59" s="99" t="str">
        <f t="shared" si="5"/>
        <v/>
      </c>
      <c r="AD59" s="140"/>
      <c r="AE59" s="99" t="str">
        <f t="shared" si="6"/>
        <v/>
      </c>
      <c r="AF59" s="140"/>
      <c r="AG59" s="99" t="str">
        <f t="shared" si="7"/>
        <v/>
      </c>
      <c r="AH59" s="140"/>
      <c r="AI59" s="99" t="str">
        <f t="shared" si="8"/>
        <v/>
      </c>
      <c r="AJ59" s="140"/>
      <c r="AK59" s="28" t="str">
        <f t="shared" si="0"/>
        <v/>
      </c>
      <c r="AL59" s="111" t="str">
        <f t="shared" si="11"/>
        <v/>
      </c>
      <c r="AM59" s="111" t="str">
        <f t="shared" si="9"/>
        <v/>
      </c>
      <c r="AN59" s="178"/>
      <c r="AO59" s="178"/>
      <c r="AP59" s="178"/>
      <c r="AQ59" s="178"/>
      <c r="AR59" s="178"/>
      <c r="AS59" s="178"/>
      <c r="AT59" s="178"/>
      <c r="AU59" s="179" t="str">
        <f>IFERROR(VLOOKUP(AT59,'Seguridad Información'!$I$61:$J$65,2,0),"")</f>
        <v/>
      </c>
      <c r="AV59" s="83"/>
      <c r="AW59" s="82" t="str">
        <f t="shared" si="1"/>
        <v/>
      </c>
      <c r="AX59" s="81" t="str">
        <f t="shared" si="2"/>
        <v/>
      </c>
      <c r="AY59" s="22" t="str">
        <f>IFERROR(VLOOKUP((CONCATENATE(AM59,AX59)),Listados!$U$3:$V$11,2,FALSE),"")</f>
        <v/>
      </c>
      <c r="AZ59" s="111">
        <f t="shared" si="10"/>
        <v>100</v>
      </c>
      <c r="BA59" s="717"/>
      <c r="BB59" s="761"/>
      <c r="BC59" s="142">
        <f>+IF(AND(W59="Preventivo",BB55="Fuerte"),2,IF(AND(W59="Preventivo",BB55="Moderado"),1,0))</f>
        <v>0</v>
      </c>
      <c r="BD59" s="68">
        <f>+IF(AND(W59="Detectivo/Correctivo",$BB55="Fuerte"),2,IF(AND(W59="Detectivo/Correctivo",$BB59="Moderado"),1,IF(AND(W59="Preventivo",$BB55="Fuerte"),1,0)))</f>
        <v>0</v>
      </c>
      <c r="BE59" s="142" t="e">
        <f>+N55-BC59</f>
        <v>#N/A</v>
      </c>
      <c r="BF59" s="142" t="e">
        <f>+P55-BD59</f>
        <v>#N/A</v>
      </c>
      <c r="BG59" s="713"/>
      <c r="BH59" s="713"/>
      <c r="BI59" s="713"/>
      <c r="BJ59" s="803"/>
      <c r="BK59" s="803"/>
      <c r="BL59" s="803"/>
      <c r="BM59" s="803"/>
    </row>
    <row r="60" spans="1:65" ht="65.150000000000006" customHeight="1" thickBot="1">
      <c r="A60" s="725"/>
      <c r="B60" s="812"/>
      <c r="C60" s="731"/>
      <c r="D60" s="113"/>
      <c r="E60" s="113"/>
      <c r="F60" s="815"/>
      <c r="G60" s="781"/>
      <c r="H60" s="105"/>
      <c r="I60" s="161"/>
      <c r="J60" s="105"/>
      <c r="K60" s="30"/>
      <c r="L60" s="150"/>
      <c r="M60" s="727"/>
      <c r="N60" s="721"/>
      <c r="O60" s="810"/>
      <c r="P60" s="721"/>
      <c r="Q60" s="715"/>
      <c r="R60" s="714"/>
      <c r="S60" s="140"/>
      <c r="T60" s="102"/>
      <c r="U60" s="52" t="s">
        <v>467</v>
      </c>
      <c r="V60" s="145"/>
      <c r="W60" s="145"/>
      <c r="X60" s="145"/>
      <c r="Y60" s="99" t="str">
        <f t="shared" si="3"/>
        <v/>
      </c>
      <c r="Z60" s="145"/>
      <c r="AA60" s="99" t="str">
        <f t="shared" si="4"/>
        <v/>
      </c>
      <c r="AB60" s="140"/>
      <c r="AC60" s="99" t="str">
        <f t="shared" si="5"/>
        <v/>
      </c>
      <c r="AD60" s="140"/>
      <c r="AE60" s="99" t="str">
        <f t="shared" si="6"/>
        <v/>
      </c>
      <c r="AF60" s="140"/>
      <c r="AG60" s="99" t="str">
        <f t="shared" si="7"/>
        <v/>
      </c>
      <c r="AH60" s="140"/>
      <c r="AI60" s="99" t="str">
        <f t="shared" si="8"/>
        <v/>
      </c>
      <c r="AJ60" s="140"/>
      <c r="AK60" s="28" t="str">
        <f t="shared" si="0"/>
        <v/>
      </c>
      <c r="AL60" s="111" t="str">
        <f t="shared" si="11"/>
        <v/>
      </c>
      <c r="AM60" s="111" t="str">
        <f t="shared" si="9"/>
        <v/>
      </c>
      <c r="AN60" s="178"/>
      <c r="AO60" s="178"/>
      <c r="AP60" s="178"/>
      <c r="AQ60" s="178"/>
      <c r="AR60" s="178"/>
      <c r="AS60" s="178"/>
      <c r="AT60" s="178"/>
      <c r="AU60" s="179" t="str">
        <f>IFERROR(VLOOKUP(AT60,'Seguridad Información'!$I$61:$J$65,2,0),"")</f>
        <v/>
      </c>
      <c r="AV60" s="83"/>
      <c r="AW60" s="82" t="str">
        <f t="shared" si="1"/>
        <v/>
      </c>
      <c r="AX60" s="81" t="str">
        <f t="shared" si="2"/>
        <v/>
      </c>
      <c r="AY60" s="22" t="str">
        <f>IFERROR(VLOOKUP((CONCATENATE(AM60,AX60)),Listados!$U$3:$V$11,2,FALSE),"")</f>
        <v/>
      </c>
      <c r="AZ60" s="111">
        <f t="shared" si="10"/>
        <v>100</v>
      </c>
      <c r="BA60" s="718"/>
      <c r="BB60" s="761"/>
      <c r="BC60" s="142">
        <f>+IF(AND(W60="Preventivo",BB55="Fuerte"),2,IF(AND(W60="Preventivo",BB55="Moderado"),1,0))</f>
        <v>0</v>
      </c>
      <c r="BD60" s="68">
        <f>+IF(AND(W60="Detectivo/Correctivo",$BB55="Fuerte"),2,IF(AND(W60="Detectivo/Correctivo",$BB60="Moderado"),1,IF(AND(W60="Preventivo",$BB55="Fuerte"),1,0)))</f>
        <v>0</v>
      </c>
      <c r="BE60" s="142" t="e">
        <f>+N55-BC60</f>
        <v>#N/A</v>
      </c>
      <c r="BF60" s="142" t="e">
        <f>+P55-BD60</f>
        <v>#N/A</v>
      </c>
      <c r="BG60" s="714"/>
      <c r="BH60" s="714"/>
      <c r="BI60" s="714"/>
      <c r="BJ60" s="804"/>
      <c r="BK60" s="804"/>
      <c r="BL60" s="804"/>
      <c r="BM60" s="804"/>
    </row>
    <row r="61" spans="1:65" ht="65.150000000000006" customHeight="1" thickBot="1">
      <c r="A61" s="723">
        <v>10</v>
      </c>
      <c r="B61" s="811"/>
      <c r="C61" s="729" t="str">
        <f>IFERROR(VLOOKUP(B61,Listados!B$3:C$20,2,FALSE),"")</f>
        <v/>
      </c>
      <c r="D61" s="114"/>
      <c r="E61" s="114"/>
      <c r="F61" s="813"/>
      <c r="G61" s="735"/>
      <c r="H61" s="105"/>
      <c r="I61" s="161"/>
      <c r="J61" s="105"/>
      <c r="K61" s="109"/>
      <c r="L61" s="18"/>
      <c r="M61" s="762"/>
      <c r="N61" s="719" t="e">
        <f>+VLOOKUP(M61,Listados!$K$8:$L$12,2,0)</f>
        <v>#N/A</v>
      </c>
      <c r="O61" s="809"/>
      <c r="P61" s="719" t="e">
        <f>+VLOOKUP(O61,Listados!$K$13:$L$17,2,0)</f>
        <v>#N/A</v>
      </c>
      <c r="Q61" s="714" t="str">
        <f>IF(AND(M61&lt;&gt;"",O61&lt;&gt;""),VLOOKUP(M61&amp;O61,Listados!$M$3:$N$27,2,FALSE),"")</f>
        <v/>
      </c>
      <c r="R61" s="712" t="e">
        <f>+VLOOKUP(Q61,Listados!$P$3:$Q$6,2,FALSE)</f>
        <v>#N/A</v>
      </c>
      <c r="S61" s="140"/>
      <c r="T61" s="98"/>
      <c r="U61" s="52" t="s">
        <v>467</v>
      </c>
      <c r="V61" s="145"/>
      <c r="W61" s="145"/>
      <c r="X61" s="145"/>
      <c r="Y61" s="99" t="str">
        <f t="shared" si="3"/>
        <v/>
      </c>
      <c r="Z61" s="145"/>
      <c r="AA61" s="99" t="str">
        <f t="shared" si="4"/>
        <v/>
      </c>
      <c r="AB61" s="140"/>
      <c r="AC61" s="99" t="str">
        <f t="shared" si="5"/>
        <v/>
      </c>
      <c r="AD61" s="140"/>
      <c r="AE61" s="99" t="str">
        <f t="shared" si="6"/>
        <v/>
      </c>
      <c r="AF61" s="140"/>
      <c r="AG61" s="99" t="str">
        <f t="shared" si="7"/>
        <v/>
      </c>
      <c r="AH61" s="140"/>
      <c r="AI61" s="99" t="str">
        <f t="shared" si="8"/>
        <v/>
      </c>
      <c r="AJ61" s="140"/>
      <c r="AK61" s="28" t="str">
        <f t="shared" si="0"/>
        <v/>
      </c>
      <c r="AL61" s="111" t="str">
        <f t="shared" si="11"/>
        <v/>
      </c>
      <c r="AM61" s="111" t="str">
        <f t="shared" si="9"/>
        <v/>
      </c>
      <c r="AN61" s="178"/>
      <c r="AO61" s="178"/>
      <c r="AP61" s="178"/>
      <c r="AQ61" s="178"/>
      <c r="AR61" s="178"/>
      <c r="AS61" s="178"/>
      <c r="AT61" s="178"/>
      <c r="AU61" s="179" t="str">
        <f>IFERROR(VLOOKUP(AT61,'Seguridad Información'!$I$61:$J$65,2,0),"")</f>
        <v/>
      </c>
      <c r="AV61" s="83"/>
      <c r="AW61" s="82" t="str">
        <f t="shared" si="1"/>
        <v/>
      </c>
      <c r="AX61" s="81" t="str">
        <f t="shared" si="2"/>
        <v/>
      </c>
      <c r="AY61" s="22" t="str">
        <f>IFERROR(VLOOKUP((CONCATENATE(AM61,AX61)),Listados!$U$3:$V$11,2,FALSE),"")</f>
        <v/>
      </c>
      <c r="AZ61" s="111">
        <f t="shared" si="10"/>
        <v>100</v>
      </c>
      <c r="BA61" s="716">
        <f>AVERAGE(AZ61:AZ66)</f>
        <v>100</v>
      </c>
      <c r="BB61" s="718" t="str">
        <f>IF(BA61&lt;=50, "Débil", IF(BA61&lt;=99,"Moderado","Fuerte"))</f>
        <v>Fuerte</v>
      </c>
      <c r="BC61" s="142">
        <f>+IF(AND(W61="Preventivo",BB61="Fuerte"),2,IF(AND(W61="Preventivo",BB61="Moderado"),1,0))</f>
        <v>0</v>
      </c>
      <c r="BD61" s="68">
        <f>+IF(AND(W61="Detectivo/Correctivo",$BB61="Fuerte"),2,IF(AND(W61="Detectivo/Correctivo",$BB61="Moderado"),1,IF(AND(W61="Preventivo",$BB61="Fuerte"),1,0)))</f>
        <v>0</v>
      </c>
      <c r="BE61" s="142" t="e">
        <f>+N61-BC61</f>
        <v>#N/A</v>
      </c>
      <c r="BF61" s="142" t="e">
        <f>+P61-BD61</f>
        <v>#N/A</v>
      </c>
      <c r="BG61" s="712" t="e">
        <f>+VLOOKUP(MIN(BE61,BE62,BE63,BE64,BE65,BE66),Listados!$J$18:$K$24,2,TRUE)</f>
        <v>#N/A</v>
      </c>
      <c r="BH61" s="712" t="e">
        <f>+VLOOKUP(MIN(BF61,BF62,BF63,BF64,BF65,BF66),Listados!$J$27:$K$32,2,TRUE)</f>
        <v>#N/A</v>
      </c>
      <c r="BI61" s="712" t="e">
        <f>IF(AND(BG61&lt;&gt;"",BH61&lt;&gt;""),VLOOKUP(BG61&amp;BH61,Listados!$M$3:$N$27,2,FALSE),"")</f>
        <v>#N/A</v>
      </c>
      <c r="BJ61" s="802" t="e">
        <f>+IF($R61="Asumir el riesgo","NA","")</f>
        <v>#N/A</v>
      </c>
      <c r="BK61" s="802" t="e">
        <f>+IF($R61="Asumir el riesgo","NA","")</f>
        <v>#N/A</v>
      </c>
      <c r="BL61" s="802" t="e">
        <f>+IF($R61="Asumir el riesgo","NA","")</f>
        <v>#N/A</v>
      </c>
      <c r="BM61" s="802" t="e">
        <f>+IF($R61="Asumir el riesgo","NA","")</f>
        <v>#N/A</v>
      </c>
    </row>
    <row r="62" spans="1:65" ht="65.150000000000006" customHeight="1" thickBot="1">
      <c r="A62" s="724"/>
      <c r="B62" s="812"/>
      <c r="C62" s="730"/>
      <c r="D62" s="158"/>
      <c r="E62" s="158"/>
      <c r="F62" s="814"/>
      <c r="G62" s="736"/>
      <c r="H62" s="105"/>
      <c r="I62" s="161"/>
      <c r="J62" s="105"/>
      <c r="K62" s="160"/>
      <c r="L62" s="150"/>
      <c r="M62" s="727"/>
      <c r="N62" s="720"/>
      <c r="O62" s="810"/>
      <c r="P62" s="720"/>
      <c r="Q62" s="715"/>
      <c r="R62" s="713"/>
      <c r="S62" s="140"/>
      <c r="T62" s="180"/>
      <c r="U62" s="52" t="s">
        <v>467</v>
      </c>
      <c r="V62" s="145"/>
      <c r="W62" s="145"/>
      <c r="X62" s="145"/>
      <c r="Y62" s="99" t="str">
        <f t="shared" si="3"/>
        <v/>
      </c>
      <c r="Z62" s="145"/>
      <c r="AA62" s="99" t="str">
        <f t="shared" si="4"/>
        <v/>
      </c>
      <c r="AB62" s="140"/>
      <c r="AC62" s="99" t="str">
        <f t="shared" si="5"/>
        <v/>
      </c>
      <c r="AD62" s="140"/>
      <c r="AE62" s="99" t="str">
        <f t="shared" si="6"/>
        <v/>
      </c>
      <c r="AF62" s="140"/>
      <c r="AG62" s="99" t="str">
        <f t="shared" si="7"/>
        <v/>
      </c>
      <c r="AH62" s="140"/>
      <c r="AI62" s="99" t="str">
        <f t="shared" si="8"/>
        <v/>
      </c>
      <c r="AJ62" s="140"/>
      <c r="AK62" s="28" t="str">
        <f t="shared" si="0"/>
        <v/>
      </c>
      <c r="AL62" s="111" t="str">
        <f t="shared" si="11"/>
        <v/>
      </c>
      <c r="AM62" s="111" t="str">
        <f t="shared" si="9"/>
        <v/>
      </c>
      <c r="AN62" s="178"/>
      <c r="AO62" s="178"/>
      <c r="AP62" s="178"/>
      <c r="AQ62" s="178"/>
      <c r="AR62" s="178"/>
      <c r="AS62" s="178"/>
      <c r="AT62" s="178"/>
      <c r="AU62" s="179" t="str">
        <f>IFERROR(VLOOKUP(AT62,'Seguridad Información'!$I$61:$J$65,2,0),"")</f>
        <v/>
      </c>
      <c r="AV62" s="83"/>
      <c r="AW62" s="82" t="str">
        <f t="shared" si="1"/>
        <v/>
      </c>
      <c r="AX62" s="81" t="str">
        <f t="shared" si="2"/>
        <v/>
      </c>
      <c r="AY62" s="22" t="str">
        <f>IFERROR(VLOOKUP((CONCATENATE(AM62,AX62)),Listados!$U$3:$V$11,2,FALSE),"")</f>
        <v/>
      </c>
      <c r="AZ62" s="111">
        <f t="shared" si="10"/>
        <v>100</v>
      </c>
      <c r="BA62" s="717"/>
      <c r="BB62" s="761"/>
      <c r="BC62" s="142">
        <f>+IF(AND(W62="Preventivo",BB61="Fuerte"),2,IF(AND(W62="Preventivo",BB61="Moderado"),1,0))</f>
        <v>0</v>
      </c>
      <c r="BD62" s="68">
        <f>+IF(AND(W62="Detectivo/Correctivo",$BB61="Fuerte"),2,IF(AND(W62="Detectivo/Correctivo",$BB62="Moderado"),1,IF(AND(W62="Preventivo",$BB61="Fuerte"),1,0)))</f>
        <v>0</v>
      </c>
      <c r="BE62" s="142" t="e">
        <f>+N61-BC62</f>
        <v>#N/A</v>
      </c>
      <c r="BF62" s="142" t="e">
        <f>+P61-BD62</f>
        <v>#N/A</v>
      </c>
      <c r="BG62" s="713"/>
      <c r="BH62" s="713"/>
      <c r="BI62" s="713"/>
      <c r="BJ62" s="803"/>
      <c r="BK62" s="803"/>
      <c r="BL62" s="803"/>
      <c r="BM62" s="803"/>
    </row>
    <row r="63" spans="1:65" ht="65.150000000000006" customHeight="1" thickBot="1">
      <c r="A63" s="724"/>
      <c r="B63" s="812"/>
      <c r="C63" s="730"/>
      <c r="D63" s="158"/>
      <c r="E63" s="158"/>
      <c r="F63" s="814"/>
      <c r="G63" s="736"/>
      <c r="H63" s="105"/>
      <c r="I63" s="161"/>
      <c r="J63" s="105"/>
      <c r="K63" s="160"/>
      <c r="L63" s="150"/>
      <c r="M63" s="727"/>
      <c r="N63" s="720"/>
      <c r="O63" s="810"/>
      <c r="P63" s="720"/>
      <c r="Q63" s="715"/>
      <c r="R63" s="713"/>
      <c r="S63" s="140"/>
      <c r="T63" s="100"/>
      <c r="U63" s="52" t="s">
        <v>467</v>
      </c>
      <c r="V63" s="145"/>
      <c r="W63" s="145"/>
      <c r="X63" s="145"/>
      <c r="Y63" s="99" t="str">
        <f t="shared" si="3"/>
        <v/>
      </c>
      <c r="Z63" s="145"/>
      <c r="AA63" s="99" t="str">
        <f t="shared" si="4"/>
        <v/>
      </c>
      <c r="AB63" s="140"/>
      <c r="AC63" s="99" t="str">
        <f t="shared" si="5"/>
        <v/>
      </c>
      <c r="AD63" s="140"/>
      <c r="AE63" s="99" t="str">
        <f t="shared" si="6"/>
        <v/>
      </c>
      <c r="AF63" s="140"/>
      <c r="AG63" s="99" t="str">
        <f t="shared" si="7"/>
        <v/>
      </c>
      <c r="AH63" s="140"/>
      <c r="AI63" s="99" t="str">
        <f t="shared" si="8"/>
        <v/>
      </c>
      <c r="AJ63" s="140"/>
      <c r="AK63" s="28" t="str">
        <f t="shared" si="0"/>
        <v/>
      </c>
      <c r="AL63" s="111" t="str">
        <f t="shared" si="11"/>
        <v/>
      </c>
      <c r="AM63" s="111" t="str">
        <f t="shared" si="9"/>
        <v/>
      </c>
      <c r="AN63" s="178"/>
      <c r="AO63" s="178"/>
      <c r="AP63" s="178"/>
      <c r="AQ63" s="178"/>
      <c r="AR63" s="178"/>
      <c r="AS63" s="178"/>
      <c r="AT63" s="178"/>
      <c r="AU63" s="179" t="str">
        <f>IFERROR(VLOOKUP(AT63,'Seguridad Información'!$I$61:$J$65,2,0),"")</f>
        <v/>
      </c>
      <c r="AV63" s="83"/>
      <c r="AW63" s="82" t="str">
        <f t="shared" si="1"/>
        <v/>
      </c>
      <c r="AX63" s="81" t="str">
        <f t="shared" si="2"/>
        <v/>
      </c>
      <c r="AY63" s="22" t="str">
        <f>IFERROR(VLOOKUP((CONCATENATE(AM63,AX63)),Listados!$U$3:$V$11,2,FALSE),"")</f>
        <v/>
      </c>
      <c r="AZ63" s="111">
        <f t="shared" si="10"/>
        <v>100</v>
      </c>
      <c r="BA63" s="717"/>
      <c r="BB63" s="761"/>
      <c r="BC63" s="142">
        <f>+IF(AND(W63="Preventivo",BB61="Fuerte"),2,IF(AND(W63="Preventivo",BB61="Moderado"),1,0))</f>
        <v>0</v>
      </c>
      <c r="BD63" s="68">
        <f>+IF(AND(W63="Detectivo/Correctivo",$BB61="Fuerte"),2,IF(AND(W63="Detectivo/Correctivo",$BB63="Moderado"),1,IF(AND(W63="Preventivo",$BB61="Fuerte"),1,0)))</f>
        <v>0</v>
      </c>
      <c r="BE63" s="142" t="e">
        <f>+N61-BC63</f>
        <v>#N/A</v>
      </c>
      <c r="BF63" s="142" t="e">
        <f>+P61-BD63</f>
        <v>#N/A</v>
      </c>
      <c r="BG63" s="713"/>
      <c r="BH63" s="713"/>
      <c r="BI63" s="713"/>
      <c r="BJ63" s="803"/>
      <c r="BK63" s="803"/>
      <c r="BL63" s="803"/>
      <c r="BM63" s="803"/>
    </row>
    <row r="64" spans="1:65" ht="65.150000000000006" customHeight="1" thickBot="1">
      <c r="A64" s="724"/>
      <c r="B64" s="812"/>
      <c r="C64" s="730"/>
      <c r="D64" s="158"/>
      <c r="E64" s="158"/>
      <c r="F64" s="814"/>
      <c r="G64" s="736"/>
      <c r="H64" s="105"/>
      <c r="I64" s="161"/>
      <c r="J64" s="105"/>
      <c r="K64" s="160"/>
      <c r="L64" s="150"/>
      <c r="M64" s="727"/>
      <c r="N64" s="720"/>
      <c r="O64" s="810"/>
      <c r="P64" s="720"/>
      <c r="Q64" s="715"/>
      <c r="R64" s="713"/>
      <c r="S64" s="140"/>
      <c r="T64" s="101"/>
      <c r="U64" s="52" t="s">
        <v>467</v>
      </c>
      <c r="V64" s="145"/>
      <c r="W64" s="145"/>
      <c r="X64" s="145"/>
      <c r="Y64" s="99" t="str">
        <f t="shared" si="3"/>
        <v/>
      </c>
      <c r="Z64" s="145"/>
      <c r="AA64" s="99" t="str">
        <f t="shared" si="4"/>
        <v/>
      </c>
      <c r="AB64" s="140"/>
      <c r="AC64" s="99" t="str">
        <f t="shared" si="5"/>
        <v/>
      </c>
      <c r="AD64" s="140"/>
      <c r="AE64" s="99" t="str">
        <f t="shared" si="6"/>
        <v/>
      </c>
      <c r="AF64" s="140"/>
      <c r="AG64" s="99" t="str">
        <f t="shared" si="7"/>
        <v/>
      </c>
      <c r="AH64" s="140"/>
      <c r="AI64" s="99" t="str">
        <f t="shared" si="8"/>
        <v/>
      </c>
      <c r="AJ64" s="140"/>
      <c r="AK64" s="28" t="str">
        <f t="shared" si="0"/>
        <v/>
      </c>
      <c r="AL64" s="111" t="str">
        <f t="shared" si="11"/>
        <v/>
      </c>
      <c r="AM64" s="111" t="str">
        <f t="shared" si="9"/>
        <v/>
      </c>
      <c r="AN64" s="178"/>
      <c r="AO64" s="178"/>
      <c r="AP64" s="178"/>
      <c r="AQ64" s="178"/>
      <c r="AR64" s="178"/>
      <c r="AS64" s="178"/>
      <c r="AT64" s="178"/>
      <c r="AU64" s="179" t="str">
        <f>IFERROR(VLOOKUP(AT64,'Seguridad Información'!$I$61:$J$65,2,0),"")</f>
        <v/>
      </c>
      <c r="AV64" s="83"/>
      <c r="AW64" s="82" t="str">
        <f t="shared" si="1"/>
        <v/>
      </c>
      <c r="AX64" s="81" t="str">
        <f t="shared" si="2"/>
        <v/>
      </c>
      <c r="AY64" s="22" t="str">
        <f>IFERROR(VLOOKUP((CONCATENATE(AM64,AX64)),Listados!$U$3:$V$11,2,FALSE),"")</f>
        <v/>
      </c>
      <c r="AZ64" s="111">
        <f t="shared" si="10"/>
        <v>100</v>
      </c>
      <c r="BA64" s="717"/>
      <c r="BB64" s="761"/>
      <c r="BC64" s="142">
        <f>+IF(AND(W64="Preventivo",BB61="Fuerte"),2,IF(AND(W64="Preventivo",BB61="Moderado"),1,0))</f>
        <v>0</v>
      </c>
      <c r="BD64" s="68">
        <f>+IF(AND(W64="Detectivo/Correctivo",$BB61="Fuerte"),2,IF(AND(W64="Detectivo/Correctivo",$BB64="Moderado"),1,IF(AND(W64="Preventivo",$BB61="Fuerte"),1,0)))</f>
        <v>0</v>
      </c>
      <c r="BE64" s="142" t="e">
        <f>+N61-BC64</f>
        <v>#N/A</v>
      </c>
      <c r="BF64" s="142" t="e">
        <f>+P61-BD64</f>
        <v>#N/A</v>
      </c>
      <c r="BG64" s="713"/>
      <c r="BH64" s="713"/>
      <c r="BI64" s="713"/>
      <c r="BJ64" s="803"/>
      <c r="BK64" s="803"/>
      <c r="BL64" s="803"/>
      <c r="BM64" s="803"/>
    </row>
    <row r="65" spans="1:65" ht="65.150000000000006" customHeight="1" thickBot="1">
      <c r="A65" s="724"/>
      <c r="B65" s="812"/>
      <c r="C65" s="730"/>
      <c r="D65" s="116"/>
      <c r="E65" s="116"/>
      <c r="F65" s="814"/>
      <c r="G65" s="736"/>
      <c r="H65" s="105"/>
      <c r="I65" s="161"/>
      <c r="J65" s="105"/>
      <c r="K65" s="29"/>
      <c r="L65" s="150"/>
      <c r="M65" s="727"/>
      <c r="N65" s="720"/>
      <c r="O65" s="810"/>
      <c r="P65" s="720"/>
      <c r="Q65" s="715"/>
      <c r="R65" s="713"/>
      <c r="S65" s="140"/>
      <c r="T65" s="180"/>
      <c r="U65" s="52" t="s">
        <v>467</v>
      </c>
      <c r="V65" s="145"/>
      <c r="W65" s="145"/>
      <c r="X65" s="145"/>
      <c r="Y65" s="99" t="str">
        <f t="shared" si="3"/>
        <v/>
      </c>
      <c r="Z65" s="145"/>
      <c r="AA65" s="99" t="str">
        <f t="shared" si="4"/>
        <v/>
      </c>
      <c r="AB65" s="140"/>
      <c r="AC65" s="99" t="str">
        <f t="shared" si="5"/>
        <v/>
      </c>
      <c r="AD65" s="140"/>
      <c r="AE65" s="99" t="str">
        <f t="shared" si="6"/>
        <v/>
      </c>
      <c r="AF65" s="140"/>
      <c r="AG65" s="99" t="str">
        <f t="shared" si="7"/>
        <v/>
      </c>
      <c r="AH65" s="140"/>
      <c r="AI65" s="99" t="str">
        <f t="shared" si="8"/>
        <v/>
      </c>
      <c r="AJ65" s="140"/>
      <c r="AK65" s="28" t="str">
        <f t="shared" si="0"/>
        <v/>
      </c>
      <c r="AL65" s="111" t="str">
        <f t="shared" si="11"/>
        <v/>
      </c>
      <c r="AM65" s="111" t="str">
        <f t="shared" si="9"/>
        <v/>
      </c>
      <c r="AN65" s="178"/>
      <c r="AO65" s="178"/>
      <c r="AP65" s="178"/>
      <c r="AQ65" s="178"/>
      <c r="AR65" s="178"/>
      <c r="AS65" s="178"/>
      <c r="AT65" s="178"/>
      <c r="AU65" s="179" t="str">
        <f>IFERROR(VLOOKUP(AT65,'Seguridad Información'!$I$61:$J$65,2,0),"")</f>
        <v/>
      </c>
      <c r="AV65" s="83"/>
      <c r="AW65" s="82" t="str">
        <f t="shared" si="1"/>
        <v/>
      </c>
      <c r="AX65" s="81" t="str">
        <f t="shared" si="2"/>
        <v/>
      </c>
      <c r="AY65" s="22" t="str">
        <f>IFERROR(VLOOKUP((CONCATENATE(AM65,AX65)),Listados!$U$3:$V$11,2,FALSE),"")</f>
        <v/>
      </c>
      <c r="AZ65" s="111">
        <f t="shared" si="10"/>
        <v>100</v>
      </c>
      <c r="BA65" s="717"/>
      <c r="BB65" s="761"/>
      <c r="BC65" s="142">
        <f>+IF(AND(W65="Preventivo",BB61="Fuerte"),2,IF(AND(W65="Preventivo",BB61="Moderado"),1,0))</f>
        <v>0</v>
      </c>
      <c r="BD65" s="68">
        <f>+IF(AND(W65="Detectivo/Correctivo",$BB61="Fuerte"),2,IF(AND(W65="Detectivo/Correctivo",$BB65="Moderado"),1,IF(AND(W65="Preventivo",$BB61="Fuerte"),1,0)))</f>
        <v>0</v>
      </c>
      <c r="BE65" s="142" t="e">
        <f>+N61-BC65</f>
        <v>#N/A</v>
      </c>
      <c r="BF65" s="142" t="e">
        <f>+P61-BD65</f>
        <v>#N/A</v>
      </c>
      <c r="BG65" s="713"/>
      <c r="BH65" s="713"/>
      <c r="BI65" s="713"/>
      <c r="BJ65" s="803"/>
      <c r="BK65" s="803"/>
      <c r="BL65" s="803"/>
      <c r="BM65" s="803"/>
    </row>
    <row r="66" spans="1:65" ht="65.150000000000006" customHeight="1" thickBot="1">
      <c r="A66" s="725"/>
      <c r="B66" s="812"/>
      <c r="C66" s="731"/>
      <c r="D66" s="113"/>
      <c r="E66" s="113"/>
      <c r="F66" s="815"/>
      <c r="G66" s="781"/>
      <c r="H66" s="105"/>
      <c r="I66" s="161"/>
      <c r="J66" s="105"/>
      <c r="K66" s="30"/>
      <c r="L66" s="150"/>
      <c r="M66" s="727"/>
      <c r="N66" s="721"/>
      <c r="O66" s="810"/>
      <c r="P66" s="721"/>
      <c r="Q66" s="715"/>
      <c r="R66" s="714"/>
      <c r="S66" s="140"/>
      <c r="T66" s="102"/>
      <c r="U66" s="52" t="s">
        <v>467</v>
      </c>
      <c r="V66" s="145"/>
      <c r="W66" s="145"/>
      <c r="X66" s="145"/>
      <c r="Y66" s="99" t="str">
        <f t="shared" si="3"/>
        <v/>
      </c>
      <c r="Z66" s="145"/>
      <c r="AA66" s="99" t="str">
        <f t="shared" si="4"/>
        <v/>
      </c>
      <c r="AB66" s="140"/>
      <c r="AC66" s="99" t="str">
        <f t="shared" si="5"/>
        <v/>
      </c>
      <c r="AD66" s="140"/>
      <c r="AE66" s="99" t="str">
        <f t="shared" si="6"/>
        <v/>
      </c>
      <c r="AF66" s="140"/>
      <c r="AG66" s="99" t="str">
        <f t="shared" si="7"/>
        <v/>
      </c>
      <c r="AH66" s="140"/>
      <c r="AI66" s="99" t="str">
        <f t="shared" si="8"/>
        <v/>
      </c>
      <c r="AJ66" s="140"/>
      <c r="AK66" s="28" t="str">
        <f t="shared" si="0"/>
        <v/>
      </c>
      <c r="AL66" s="111" t="str">
        <f t="shared" si="11"/>
        <v/>
      </c>
      <c r="AM66" s="111" t="str">
        <f t="shared" si="9"/>
        <v/>
      </c>
      <c r="AN66" s="178"/>
      <c r="AO66" s="178"/>
      <c r="AP66" s="178"/>
      <c r="AQ66" s="178"/>
      <c r="AR66" s="178"/>
      <c r="AS66" s="178"/>
      <c r="AT66" s="178"/>
      <c r="AU66" s="179" t="str">
        <f>IFERROR(VLOOKUP(AT66,'Seguridad Información'!$I$61:$J$65,2,0),"")</f>
        <v/>
      </c>
      <c r="AV66" s="83"/>
      <c r="AW66" s="82" t="str">
        <f t="shared" si="1"/>
        <v/>
      </c>
      <c r="AX66" s="81" t="str">
        <f t="shared" si="2"/>
        <v/>
      </c>
      <c r="AY66" s="22" t="str">
        <f>IFERROR(VLOOKUP((CONCATENATE(AM66,AX66)),Listados!$U$3:$V$11,2,FALSE),"")</f>
        <v/>
      </c>
      <c r="AZ66" s="111">
        <f t="shared" si="10"/>
        <v>100</v>
      </c>
      <c r="BA66" s="718"/>
      <c r="BB66" s="761"/>
      <c r="BC66" s="142">
        <f>+IF(AND(W66="Preventivo",BB61="Fuerte"),2,IF(AND(W66="Preventivo",BB61="Moderado"),1,0))</f>
        <v>0</v>
      </c>
      <c r="BD66" s="68">
        <f>+IF(AND(W66="Detectivo/Correctivo",$BB61="Fuerte"),2,IF(AND(W66="Detectivo/Correctivo",$BB66="Moderado"),1,IF(AND(W66="Preventivo",$BB61="Fuerte"),1,0)))</f>
        <v>0</v>
      </c>
      <c r="BE66" s="142" t="e">
        <f>+N61-BC66</f>
        <v>#N/A</v>
      </c>
      <c r="BF66" s="142" t="e">
        <f>+P61-BD66</f>
        <v>#N/A</v>
      </c>
      <c r="BG66" s="714"/>
      <c r="BH66" s="714"/>
      <c r="BI66" s="714"/>
      <c r="BJ66" s="804"/>
      <c r="BK66" s="804"/>
      <c r="BL66" s="804"/>
      <c r="BM66" s="804"/>
    </row>
    <row r="67" spans="1:65" ht="65.150000000000006" customHeight="1" thickBot="1">
      <c r="A67" s="723">
        <v>11</v>
      </c>
      <c r="B67" s="811"/>
      <c r="C67" s="729" t="str">
        <f>IFERROR(VLOOKUP(B67,Listados!B$3:C$20,2,FALSE),"")</f>
        <v/>
      </c>
      <c r="D67" s="114"/>
      <c r="E67" s="114"/>
      <c r="F67" s="813"/>
      <c r="G67" s="735"/>
      <c r="H67" s="105"/>
      <c r="I67" s="161"/>
      <c r="J67" s="105"/>
      <c r="K67" s="109"/>
      <c r="L67" s="18"/>
      <c r="M67" s="762"/>
      <c r="N67" s="719" t="e">
        <f>+VLOOKUP(M67,Listados!$K$8:$L$12,2,0)</f>
        <v>#N/A</v>
      </c>
      <c r="O67" s="809"/>
      <c r="P67" s="719" t="e">
        <f>+VLOOKUP(O67,Listados!$K$13:$L$17,2,0)</f>
        <v>#N/A</v>
      </c>
      <c r="Q67" s="714" t="str">
        <f>IF(AND(M67&lt;&gt;"",O67&lt;&gt;""),VLOOKUP(M67&amp;O67,Listados!$M$3:$N$27,2,FALSE),"")</f>
        <v/>
      </c>
      <c r="R67" s="712" t="e">
        <f>+VLOOKUP(Q67,Listados!$P$3:$Q$6,2,FALSE)</f>
        <v>#N/A</v>
      </c>
      <c r="S67" s="140"/>
      <c r="T67" s="98"/>
      <c r="U67" s="52" t="s">
        <v>467</v>
      </c>
      <c r="V67" s="145"/>
      <c r="W67" s="145"/>
      <c r="X67" s="145"/>
      <c r="Y67" s="99" t="str">
        <f t="shared" si="3"/>
        <v/>
      </c>
      <c r="Z67" s="145"/>
      <c r="AA67" s="99" t="str">
        <f t="shared" si="4"/>
        <v/>
      </c>
      <c r="AB67" s="140"/>
      <c r="AC67" s="99" t="str">
        <f t="shared" si="5"/>
        <v/>
      </c>
      <c r="AD67" s="140"/>
      <c r="AE67" s="99" t="str">
        <f t="shared" si="6"/>
        <v/>
      </c>
      <c r="AF67" s="140"/>
      <c r="AG67" s="99" t="str">
        <f t="shared" si="7"/>
        <v/>
      </c>
      <c r="AH67" s="140"/>
      <c r="AI67" s="99" t="str">
        <f t="shared" si="8"/>
        <v/>
      </c>
      <c r="AJ67" s="140"/>
      <c r="AK67" s="28" t="str">
        <f t="shared" si="0"/>
        <v/>
      </c>
      <c r="AL67" s="111" t="str">
        <f t="shared" si="11"/>
        <v/>
      </c>
      <c r="AM67" s="111" t="str">
        <f t="shared" si="9"/>
        <v/>
      </c>
      <c r="AN67" s="178"/>
      <c r="AO67" s="178"/>
      <c r="AP67" s="178"/>
      <c r="AQ67" s="178"/>
      <c r="AR67" s="178"/>
      <c r="AS67" s="178"/>
      <c r="AT67" s="178"/>
      <c r="AU67" s="179" t="str">
        <f>IFERROR(VLOOKUP(AT67,'Seguridad Información'!$I$61:$J$65,2,0),"")</f>
        <v/>
      </c>
      <c r="AV67" s="83"/>
      <c r="AW67" s="82" t="str">
        <f t="shared" si="1"/>
        <v/>
      </c>
      <c r="AX67" s="81" t="str">
        <f t="shared" si="2"/>
        <v/>
      </c>
      <c r="AY67" s="22" t="str">
        <f>IFERROR(VLOOKUP((CONCATENATE(AM67,AX67)),Listados!$U$3:$V$11,2,FALSE),"")</f>
        <v/>
      </c>
      <c r="AZ67" s="111">
        <f t="shared" si="10"/>
        <v>100</v>
      </c>
      <c r="BA67" s="716">
        <f>AVERAGE(AZ67:AZ72)</f>
        <v>100</v>
      </c>
      <c r="BB67" s="718" t="str">
        <f>IF(BA67&lt;=50, "Débil", IF(BA67&lt;=99,"Moderado","Fuerte"))</f>
        <v>Fuerte</v>
      </c>
      <c r="BC67" s="142">
        <f>+IF(AND(W67="Preventivo",BB67="Fuerte"),2,IF(AND(W67="Preventivo",BB67="Moderado"),1,0))</f>
        <v>0</v>
      </c>
      <c r="BD67" s="68">
        <f>+IF(AND(W67="Detectivo/Correctivo",$BB67="Fuerte"),2,IF(AND(W67="Detectivo/Correctivo",$BB67="Moderado"),1,IF(AND(W67="Preventivo",$BB67="Fuerte"),1,0)))</f>
        <v>0</v>
      </c>
      <c r="BE67" s="142" t="e">
        <f>+N67-BC67</f>
        <v>#N/A</v>
      </c>
      <c r="BF67" s="142" t="e">
        <f>+P67-BD67</f>
        <v>#N/A</v>
      </c>
      <c r="BG67" s="712" t="e">
        <f>+VLOOKUP(MIN(BE67,BE68,BE69,BE70,BE71,BE72),Listados!$J$18:$K$24,2,TRUE)</f>
        <v>#N/A</v>
      </c>
      <c r="BH67" s="712" t="e">
        <f>+VLOOKUP(MIN(BF67,BF68,BF69,BF70,BF71,BF72),Listados!$J$27:$K$32,2,TRUE)</f>
        <v>#N/A</v>
      </c>
      <c r="BI67" s="712" t="e">
        <f>IF(AND(BG67&lt;&gt;"",BH67&lt;&gt;""),VLOOKUP(BG67&amp;BH67,Listados!$M$3:$N$27,2,FALSE),"")</f>
        <v>#N/A</v>
      </c>
      <c r="BJ67" s="802" t="e">
        <f>+IF($R67="Asumir el riesgo","NA","")</f>
        <v>#N/A</v>
      </c>
      <c r="BK67" s="802" t="e">
        <f>+IF($R67="Asumir el riesgo","NA","")</f>
        <v>#N/A</v>
      </c>
      <c r="BL67" s="802" t="e">
        <f>+IF($R67="Asumir el riesgo","NA","")</f>
        <v>#N/A</v>
      </c>
      <c r="BM67" s="802" t="e">
        <f>+IF($R67="Asumir el riesgo","NA","")</f>
        <v>#N/A</v>
      </c>
    </row>
    <row r="68" spans="1:65" ht="65.150000000000006" customHeight="1" thickBot="1">
      <c r="A68" s="724"/>
      <c r="B68" s="812"/>
      <c r="C68" s="730"/>
      <c r="D68" s="158"/>
      <c r="E68" s="158"/>
      <c r="F68" s="814"/>
      <c r="G68" s="736"/>
      <c r="H68" s="105"/>
      <c r="I68" s="161"/>
      <c r="J68" s="105"/>
      <c r="K68" s="160"/>
      <c r="L68" s="150"/>
      <c r="M68" s="727"/>
      <c r="N68" s="720"/>
      <c r="O68" s="810"/>
      <c r="P68" s="720"/>
      <c r="Q68" s="715"/>
      <c r="R68" s="713"/>
      <c r="S68" s="140"/>
      <c r="T68" s="180"/>
      <c r="U68" s="52" t="s">
        <v>467</v>
      </c>
      <c r="V68" s="145"/>
      <c r="W68" s="145"/>
      <c r="X68" s="145"/>
      <c r="Y68" s="99" t="str">
        <f t="shared" si="3"/>
        <v/>
      </c>
      <c r="Z68" s="145"/>
      <c r="AA68" s="99" t="str">
        <f t="shared" si="4"/>
        <v/>
      </c>
      <c r="AB68" s="140"/>
      <c r="AC68" s="99" t="str">
        <f t="shared" si="5"/>
        <v/>
      </c>
      <c r="AD68" s="140"/>
      <c r="AE68" s="99" t="str">
        <f t="shared" si="6"/>
        <v/>
      </c>
      <c r="AF68" s="140"/>
      <c r="AG68" s="99" t="str">
        <f t="shared" si="7"/>
        <v/>
      </c>
      <c r="AH68" s="140"/>
      <c r="AI68" s="99" t="str">
        <f t="shared" si="8"/>
        <v/>
      </c>
      <c r="AJ68" s="140"/>
      <c r="AK68" s="28" t="str">
        <f t="shared" si="0"/>
        <v/>
      </c>
      <c r="AL68" s="111" t="str">
        <f t="shared" si="11"/>
        <v/>
      </c>
      <c r="AM68" s="111" t="str">
        <f t="shared" si="9"/>
        <v/>
      </c>
      <c r="AN68" s="178"/>
      <c r="AO68" s="178"/>
      <c r="AP68" s="178"/>
      <c r="AQ68" s="178"/>
      <c r="AR68" s="178"/>
      <c r="AS68" s="178"/>
      <c r="AT68" s="178"/>
      <c r="AU68" s="179" t="str">
        <f>IFERROR(VLOOKUP(AT68,'Seguridad Información'!$I$61:$J$65,2,0),"")</f>
        <v/>
      </c>
      <c r="AV68" s="83"/>
      <c r="AW68" s="82" t="str">
        <f t="shared" si="1"/>
        <v/>
      </c>
      <c r="AX68" s="81" t="str">
        <f t="shared" si="2"/>
        <v/>
      </c>
      <c r="AY68" s="22" t="str">
        <f>IFERROR(VLOOKUP((CONCATENATE(AM68,AX68)),Listados!$U$3:$V$11,2,FALSE),"")</f>
        <v/>
      </c>
      <c r="AZ68" s="111">
        <f t="shared" si="10"/>
        <v>100</v>
      </c>
      <c r="BA68" s="717"/>
      <c r="BB68" s="761"/>
      <c r="BC68" s="142">
        <f>+IF(AND(W68="Preventivo",BB67="Fuerte"),2,IF(AND(W68="Preventivo",BB67="Moderado"),1,0))</f>
        <v>0</v>
      </c>
      <c r="BD68" s="68">
        <f>+IF(AND(W68="Detectivo/Correctivo",$BB67="Fuerte"),2,IF(AND(W68="Detectivo/Correctivo",$BB68="Moderado"),1,IF(AND(W68="Preventivo",$BB67="Fuerte"),1,0)))</f>
        <v>0</v>
      </c>
      <c r="BE68" s="142" t="e">
        <f>+N67-BC68</f>
        <v>#N/A</v>
      </c>
      <c r="BF68" s="142" t="e">
        <f>+P67-BD68</f>
        <v>#N/A</v>
      </c>
      <c r="BG68" s="713"/>
      <c r="BH68" s="713"/>
      <c r="BI68" s="713"/>
      <c r="BJ68" s="803"/>
      <c r="BK68" s="803"/>
      <c r="BL68" s="803"/>
      <c r="BM68" s="803"/>
    </row>
    <row r="69" spans="1:65" ht="65.150000000000006" customHeight="1" thickBot="1">
      <c r="A69" s="724"/>
      <c r="B69" s="812"/>
      <c r="C69" s="730"/>
      <c r="D69" s="158"/>
      <c r="E69" s="158"/>
      <c r="F69" s="814"/>
      <c r="G69" s="736"/>
      <c r="H69" s="105"/>
      <c r="I69" s="161"/>
      <c r="J69" s="105"/>
      <c r="K69" s="160"/>
      <c r="L69" s="150"/>
      <c r="M69" s="727"/>
      <c r="N69" s="720"/>
      <c r="O69" s="810"/>
      <c r="P69" s="720"/>
      <c r="Q69" s="715"/>
      <c r="R69" s="713"/>
      <c r="S69" s="140"/>
      <c r="T69" s="100"/>
      <c r="U69" s="52" t="s">
        <v>467</v>
      </c>
      <c r="V69" s="145"/>
      <c r="W69" s="145"/>
      <c r="X69" s="145"/>
      <c r="Y69" s="99" t="str">
        <f t="shared" si="3"/>
        <v/>
      </c>
      <c r="Z69" s="145"/>
      <c r="AA69" s="99" t="str">
        <f t="shared" si="4"/>
        <v/>
      </c>
      <c r="AB69" s="140"/>
      <c r="AC69" s="99" t="str">
        <f t="shared" si="5"/>
        <v/>
      </c>
      <c r="AD69" s="140"/>
      <c r="AE69" s="99" t="str">
        <f t="shared" si="6"/>
        <v/>
      </c>
      <c r="AF69" s="140"/>
      <c r="AG69" s="99" t="str">
        <f t="shared" si="7"/>
        <v/>
      </c>
      <c r="AH69" s="140"/>
      <c r="AI69" s="99" t="str">
        <f t="shared" si="8"/>
        <v/>
      </c>
      <c r="AJ69" s="140"/>
      <c r="AK69" s="28" t="str">
        <f t="shared" si="0"/>
        <v/>
      </c>
      <c r="AL69" s="111" t="str">
        <f t="shared" si="11"/>
        <v/>
      </c>
      <c r="AM69" s="111" t="str">
        <f t="shared" si="9"/>
        <v/>
      </c>
      <c r="AN69" s="178"/>
      <c r="AO69" s="178"/>
      <c r="AP69" s="178"/>
      <c r="AQ69" s="178"/>
      <c r="AR69" s="178"/>
      <c r="AS69" s="178"/>
      <c r="AT69" s="178"/>
      <c r="AU69" s="179" t="str">
        <f>IFERROR(VLOOKUP(AT69,'Seguridad Información'!$I$61:$J$65,2,0),"")</f>
        <v/>
      </c>
      <c r="AV69" s="83"/>
      <c r="AW69" s="82" t="str">
        <f t="shared" si="1"/>
        <v/>
      </c>
      <c r="AX69" s="81" t="str">
        <f t="shared" si="2"/>
        <v/>
      </c>
      <c r="AY69" s="22" t="str">
        <f>IFERROR(VLOOKUP((CONCATENATE(AM69,AX69)),Listados!$U$3:$V$11,2,FALSE),"")</f>
        <v/>
      </c>
      <c r="AZ69" s="111">
        <f t="shared" si="10"/>
        <v>100</v>
      </c>
      <c r="BA69" s="717"/>
      <c r="BB69" s="761"/>
      <c r="BC69" s="142">
        <f>+IF(AND(W69="Preventivo",BB67="Fuerte"),2,IF(AND(W69="Preventivo",BB67="Moderado"),1,0))</f>
        <v>0</v>
      </c>
      <c r="BD69" s="68">
        <f>+IF(AND(W69="Detectivo/Correctivo",$BB67="Fuerte"),2,IF(AND(W69="Detectivo/Correctivo",$BB69="Moderado"),1,IF(AND(W69="Preventivo",$BB67="Fuerte"),1,0)))</f>
        <v>0</v>
      </c>
      <c r="BE69" s="142" t="e">
        <f>+N67-BC69</f>
        <v>#N/A</v>
      </c>
      <c r="BF69" s="142" t="e">
        <f>+P67-BD69</f>
        <v>#N/A</v>
      </c>
      <c r="BG69" s="713"/>
      <c r="BH69" s="713"/>
      <c r="BI69" s="713"/>
      <c r="BJ69" s="803"/>
      <c r="BK69" s="803"/>
      <c r="BL69" s="803"/>
      <c r="BM69" s="803"/>
    </row>
    <row r="70" spans="1:65" ht="65.150000000000006" customHeight="1" thickBot="1">
      <c r="A70" s="724"/>
      <c r="B70" s="812"/>
      <c r="C70" s="730"/>
      <c r="D70" s="158"/>
      <c r="E70" s="158"/>
      <c r="F70" s="814"/>
      <c r="G70" s="736"/>
      <c r="H70" s="105"/>
      <c r="I70" s="161"/>
      <c r="J70" s="105"/>
      <c r="K70" s="160"/>
      <c r="L70" s="150"/>
      <c r="M70" s="727"/>
      <c r="N70" s="720"/>
      <c r="O70" s="810"/>
      <c r="P70" s="720"/>
      <c r="Q70" s="715"/>
      <c r="R70" s="713"/>
      <c r="S70" s="140"/>
      <c r="T70" s="101"/>
      <c r="U70" s="52" t="s">
        <v>467</v>
      </c>
      <c r="V70" s="145"/>
      <c r="W70" s="145"/>
      <c r="X70" s="145"/>
      <c r="Y70" s="99" t="str">
        <f t="shared" si="3"/>
        <v/>
      </c>
      <c r="Z70" s="145"/>
      <c r="AA70" s="99" t="str">
        <f t="shared" si="4"/>
        <v/>
      </c>
      <c r="AB70" s="140"/>
      <c r="AC70" s="99" t="str">
        <f t="shared" si="5"/>
        <v/>
      </c>
      <c r="AD70" s="140"/>
      <c r="AE70" s="99" t="str">
        <f t="shared" si="6"/>
        <v/>
      </c>
      <c r="AF70" s="140"/>
      <c r="AG70" s="99" t="str">
        <f t="shared" si="7"/>
        <v/>
      </c>
      <c r="AH70" s="140"/>
      <c r="AI70" s="99" t="str">
        <f t="shared" si="8"/>
        <v/>
      </c>
      <c r="AJ70" s="140"/>
      <c r="AK70" s="28" t="str">
        <f t="shared" si="0"/>
        <v/>
      </c>
      <c r="AL70" s="111" t="str">
        <f t="shared" si="11"/>
        <v/>
      </c>
      <c r="AM70" s="111" t="str">
        <f t="shared" si="9"/>
        <v/>
      </c>
      <c r="AN70" s="178"/>
      <c r="AO70" s="178"/>
      <c r="AP70" s="178"/>
      <c r="AQ70" s="178"/>
      <c r="AR70" s="178"/>
      <c r="AS70" s="178"/>
      <c r="AT70" s="178"/>
      <c r="AU70" s="179" t="str">
        <f>IFERROR(VLOOKUP(AT70,'Seguridad Información'!$I$61:$J$65,2,0),"")</f>
        <v/>
      </c>
      <c r="AV70" s="83"/>
      <c r="AW70" s="82" t="str">
        <f t="shared" si="1"/>
        <v/>
      </c>
      <c r="AX70" s="81" t="str">
        <f t="shared" si="2"/>
        <v/>
      </c>
      <c r="AY70" s="22" t="str">
        <f>IFERROR(VLOOKUP((CONCATENATE(AM70,AX70)),Listados!$U$3:$V$11,2,FALSE),"")</f>
        <v/>
      </c>
      <c r="AZ70" s="111">
        <f t="shared" si="10"/>
        <v>100</v>
      </c>
      <c r="BA70" s="717"/>
      <c r="BB70" s="761"/>
      <c r="BC70" s="142">
        <f>+IF(AND(W70="Preventivo",BB67="Fuerte"),2,IF(AND(W70="Preventivo",BB67="Moderado"),1,0))</f>
        <v>0</v>
      </c>
      <c r="BD70" s="68">
        <f>+IF(AND(W70="Detectivo/Correctivo",$BB67="Fuerte"),2,IF(AND(W70="Detectivo/Correctivo",$BB70="Moderado"),1,IF(AND(W70="Preventivo",$BB67="Fuerte"),1,0)))</f>
        <v>0</v>
      </c>
      <c r="BE70" s="142" t="e">
        <f>+N67-BC70</f>
        <v>#N/A</v>
      </c>
      <c r="BF70" s="142" t="e">
        <f>+P67-BD70</f>
        <v>#N/A</v>
      </c>
      <c r="BG70" s="713"/>
      <c r="BH70" s="713"/>
      <c r="BI70" s="713"/>
      <c r="BJ70" s="803"/>
      <c r="BK70" s="803"/>
      <c r="BL70" s="803"/>
      <c r="BM70" s="803"/>
    </row>
    <row r="71" spans="1:65" ht="65.150000000000006" customHeight="1" thickBot="1">
      <c r="A71" s="724"/>
      <c r="B71" s="812"/>
      <c r="C71" s="730"/>
      <c r="D71" s="116"/>
      <c r="E71" s="116"/>
      <c r="F71" s="814"/>
      <c r="G71" s="736"/>
      <c r="H71" s="105"/>
      <c r="I71" s="161"/>
      <c r="J71" s="105"/>
      <c r="K71" s="29"/>
      <c r="L71" s="150"/>
      <c r="M71" s="727"/>
      <c r="N71" s="720"/>
      <c r="O71" s="810"/>
      <c r="P71" s="720"/>
      <c r="Q71" s="715"/>
      <c r="R71" s="713"/>
      <c r="S71" s="140"/>
      <c r="T71" s="180"/>
      <c r="U71" s="52" t="s">
        <v>467</v>
      </c>
      <c r="V71" s="145"/>
      <c r="W71" s="145"/>
      <c r="X71" s="145"/>
      <c r="Y71" s="99" t="str">
        <f t="shared" si="3"/>
        <v/>
      </c>
      <c r="Z71" s="145"/>
      <c r="AA71" s="99" t="str">
        <f t="shared" si="4"/>
        <v/>
      </c>
      <c r="AB71" s="140"/>
      <c r="AC71" s="99" t="str">
        <f t="shared" si="5"/>
        <v/>
      </c>
      <c r="AD71" s="140"/>
      <c r="AE71" s="99" t="str">
        <f t="shared" si="6"/>
        <v/>
      </c>
      <c r="AF71" s="140"/>
      <c r="AG71" s="99" t="str">
        <f t="shared" si="7"/>
        <v/>
      </c>
      <c r="AH71" s="140"/>
      <c r="AI71" s="99" t="str">
        <f t="shared" si="8"/>
        <v/>
      </c>
      <c r="AJ71" s="140"/>
      <c r="AK71" s="28" t="str">
        <f t="shared" si="0"/>
        <v/>
      </c>
      <c r="AL71" s="111" t="str">
        <f t="shared" si="11"/>
        <v/>
      </c>
      <c r="AM71" s="111" t="str">
        <f t="shared" si="9"/>
        <v/>
      </c>
      <c r="AN71" s="178"/>
      <c r="AO71" s="178"/>
      <c r="AP71" s="178"/>
      <c r="AQ71" s="178"/>
      <c r="AR71" s="178"/>
      <c r="AS71" s="178"/>
      <c r="AT71" s="178"/>
      <c r="AU71" s="179" t="str">
        <f>IFERROR(VLOOKUP(AT71,'Seguridad Información'!$I$61:$J$65,2,0),"")</f>
        <v/>
      </c>
      <c r="AV71" s="83"/>
      <c r="AW71" s="82" t="str">
        <f t="shared" ref="AW71:AW134" si="12">IFERROR(AVERAGE(AO71,AQ71,AS71,AU71),"")</f>
        <v/>
      </c>
      <c r="AX71" s="81" t="str">
        <f t="shared" si="2"/>
        <v/>
      </c>
      <c r="AY71" s="22" t="str">
        <f>IFERROR(VLOOKUP((CONCATENATE(AM71,AX71)),Listados!$U$3:$V$11,2,FALSE),"")</f>
        <v/>
      </c>
      <c r="AZ71" s="111">
        <f t="shared" si="10"/>
        <v>100</v>
      </c>
      <c r="BA71" s="717"/>
      <c r="BB71" s="761"/>
      <c r="BC71" s="142">
        <f>+IF(AND(W71="Preventivo",BB67="Fuerte"),2,IF(AND(W71="Preventivo",BB67="Moderado"),1,0))</f>
        <v>0</v>
      </c>
      <c r="BD71" s="68">
        <f>+IF(AND(W71="Detectivo/Correctivo",$BB67="Fuerte"),2,IF(AND(W71="Detectivo/Correctivo",$BB71="Moderado"),1,IF(AND(W71="Preventivo",$BB67="Fuerte"),1,0)))</f>
        <v>0</v>
      </c>
      <c r="BE71" s="142" t="e">
        <f>+N67-BC71</f>
        <v>#N/A</v>
      </c>
      <c r="BF71" s="142" t="e">
        <f>+P67-BD71</f>
        <v>#N/A</v>
      </c>
      <c r="BG71" s="713"/>
      <c r="BH71" s="713"/>
      <c r="BI71" s="713"/>
      <c r="BJ71" s="803"/>
      <c r="BK71" s="803"/>
      <c r="BL71" s="803"/>
      <c r="BM71" s="803"/>
    </row>
    <row r="72" spans="1:65" ht="65.150000000000006" customHeight="1" thickBot="1">
      <c r="A72" s="725"/>
      <c r="B72" s="812"/>
      <c r="C72" s="731"/>
      <c r="D72" s="113"/>
      <c r="E72" s="113"/>
      <c r="F72" s="815"/>
      <c r="G72" s="781"/>
      <c r="H72" s="105"/>
      <c r="I72" s="161"/>
      <c r="J72" s="105"/>
      <c r="K72" s="30"/>
      <c r="L72" s="150"/>
      <c r="M72" s="727"/>
      <c r="N72" s="721"/>
      <c r="O72" s="810"/>
      <c r="P72" s="721"/>
      <c r="Q72" s="715"/>
      <c r="R72" s="714"/>
      <c r="S72" s="140"/>
      <c r="T72" s="102"/>
      <c r="U72" s="52" t="s">
        <v>467</v>
      </c>
      <c r="V72" s="145"/>
      <c r="W72" s="145"/>
      <c r="X72" s="145"/>
      <c r="Y72" s="99" t="str">
        <f t="shared" ref="Y72:Y135" si="13">+IF(X72="si",15,"")</f>
        <v/>
      </c>
      <c r="Z72" s="145"/>
      <c r="AA72" s="99" t="str">
        <f t="shared" ref="AA72:AA135" si="14">+IF(Z72="si",15,"")</f>
        <v/>
      </c>
      <c r="AB72" s="140"/>
      <c r="AC72" s="99" t="str">
        <f t="shared" ref="AC72:AC135" si="15">+IF(AB72="si",15,"")</f>
        <v/>
      </c>
      <c r="AD72" s="140"/>
      <c r="AE72" s="99" t="str">
        <f t="shared" ref="AE72:AE135" si="16">+IF(AD72="si",15,"")</f>
        <v/>
      </c>
      <c r="AF72" s="140"/>
      <c r="AG72" s="99" t="str">
        <f t="shared" ref="AG72:AG135" si="17">+IF(AF72="si",15,"")</f>
        <v/>
      </c>
      <c r="AH72" s="140"/>
      <c r="AI72" s="99" t="str">
        <f t="shared" ref="AI72:AI135" si="18">+IF(AH72="si",15,"")</f>
        <v/>
      </c>
      <c r="AJ72" s="140"/>
      <c r="AK72" s="28" t="str">
        <f t="shared" ref="AK72:AK135" si="19">+IF(AJ72="Completa",10,IF(AJ72="Incompleta",5,""))</f>
        <v/>
      </c>
      <c r="AL72" s="111" t="str">
        <f t="shared" ref="AL72:AL135" si="20">IF((SUM(Y72,AA72,AC72,AE72,AG72,AI72,AK72)=0),"",(SUM(Y72,AA72,AC72,AE72,AG72,AI72,AK72)))</f>
        <v/>
      </c>
      <c r="AM72" s="111" t="str">
        <f t="shared" ref="AM72:AM135" si="21">IF(AL72&lt;=85,"Débil",IF(AL72&lt;=95,"Moderado",IF(AL72=100,"Fuerte","")))</f>
        <v/>
      </c>
      <c r="AN72" s="178"/>
      <c r="AO72" s="178"/>
      <c r="AP72" s="178"/>
      <c r="AQ72" s="178"/>
      <c r="AR72" s="178"/>
      <c r="AS72" s="178"/>
      <c r="AT72" s="178"/>
      <c r="AU72" s="179" t="str">
        <f>IFERROR(VLOOKUP(AT72,'Seguridad Información'!$I$61:$J$65,2,0),"")</f>
        <v/>
      </c>
      <c r="AV72" s="83"/>
      <c r="AW72" s="82" t="str">
        <f t="shared" si="12"/>
        <v/>
      </c>
      <c r="AX72" s="81" t="str">
        <f t="shared" ref="AX72:AX135" si="22">IF(AW72&lt;=80,"Débil",IF(AW72&lt;=90,"Moderado",IF(AW72=100,"Fuerte","")))</f>
        <v/>
      </c>
      <c r="AY72" s="22" t="str">
        <f>IFERROR(VLOOKUP((CONCATENATE(AM72,AX72)),Listados!$U$3:$V$11,2,FALSE),"")</f>
        <v/>
      </c>
      <c r="AZ72" s="111">
        <f t="shared" si="10"/>
        <v>100</v>
      </c>
      <c r="BA72" s="718"/>
      <c r="BB72" s="761"/>
      <c r="BC72" s="142">
        <f>+IF(AND(W72="Preventivo",BB67="Fuerte"),2,IF(AND(W72="Preventivo",BB67="Moderado"),1,0))</f>
        <v>0</v>
      </c>
      <c r="BD72" s="68">
        <f>+IF(AND(W72="Detectivo/Correctivo",$BB67="Fuerte"),2,IF(AND(W72="Detectivo/Correctivo",$BB72="Moderado"),1,IF(AND(W72="Preventivo",$BB67="Fuerte"),1,0)))</f>
        <v>0</v>
      </c>
      <c r="BE72" s="142" t="e">
        <f>+N67-BC72</f>
        <v>#N/A</v>
      </c>
      <c r="BF72" s="142" t="e">
        <f>+P67-BD72</f>
        <v>#N/A</v>
      </c>
      <c r="BG72" s="714"/>
      <c r="BH72" s="714"/>
      <c r="BI72" s="714"/>
      <c r="BJ72" s="804"/>
      <c r="BK72" s="804"/>
      <c r="BL72" s="804"/>
      <c r="BM72" s="804"/>
    </row>
    <row r="73" spans="1:65" ht="65.150000000000006" customHeight="1" thickBot="1">
      <c r="A73" s="723">
        <v>12</v>
      </c>
      <c r="B73" s="811"/>
      <c r="C73" s="729" t="str">
        <f>IFERROR(VLOOKUP(B73,Listados!B$3:C$20,2,FALSE),"")</f>
        <v/>
      </c>
      <c r="D73" s="114"/>
      <c r="E73" s="114"/>
      <c r="F73" s="813"/>
      <c r="G73" s="735"/>
      <c r="H73" s="105"/>
      <c r="I73" s="161"/>
      <c r="J73" s="105"/>
      <c r="K73" s="109"/>
      <c r="L73" s="18"/>
      <c r="M73" s="762"/>
      <c r="N73" s="719" t="e">
        <f>+VLOOKUP(M73,Listados!$K$8:$L$12,2,0)</f>
        <v>#N/A</v>
      </c>
      <c r="O73" s="809"/>
      <c r="P73" s="719" t="e">
        <f>+VLOOKUP(O73,Listados!$K$13:$L$17,2,0)</f>
        <v>#N/A</v>
      </c>
      <c r="Q73" s="714" t="str">
        <f>IF(AND(M73&lt;&gt;"",O73&lt;&gt;""),VLOOKUP(M73&amp;O73,Listados!$M$3:$N$27,2,FALSE),"")</f>
        <v/>
      </c>
      <c r="R73" s="712" t="e">
        <f>+VLOOKUP(Q73,Listados!$P$3:$Q$6,2,FALSE)</f>
        <v>#N/A</v>
      </c>
      <c r="S73" s="140"/>
      <c r="T73" s="98"/>
      <c r="U73" s="52" t="s">
        <v>467</v>
      </c>
      <c r="V73" s="145"/>
      <c r="W73" s="145"/>
      <c r="X73" s="145"/>
      <c r="Y73" s="99" t="str">
        <f t="shared" si="13"/>
        <v/>
      </c>
      <c r="Z73" s="145"/>
      <c r="AA73" s="99" t="str">
        <f t="shared" si="14"/>
        <v/>
      </c>
      <c r="AB73" s="140"/>
      <c r="AC73" s="99" t="str">
        <f t="shared" si="15"/>
        <v/>
      </c>
      <c r="AD73" s="140"/>
      <c r="AE73" s="99" t="str">
        <f t="shared" si="16"/>
        <v/>
      </c>
      <c r="AF73" s="140"/>
      <c r="AG73" s="99" t="str">
        <f t="shared" si="17"/>
        <v/>
      </c>
      <c r="AH73" s="140"/>
      <c r="AI73" s="99" t="str">
        <f t="shared" si="18"/>
        <v/>
      </c>
      <c r="AJ73" s="140"/>
      <c r="AK73" s="28" t="str">
        <f t="shared" si="19"/>
        <v/>
      </c>
      <c r="AL73" s="111" t="str">
        <f t="shared" si="20"/>
        <v/>
      </c>
      <c r="AM73" s="111" t="str">
        <f t="shared" si="21"/>
        <v/>
      </c>
      <c r="AN73" s="178"/>
      <c r="AO73" s="178"/>
      <c r="AP73" s="178"/>
      <c r="AQ73" s="178"/>
      <c r="AR73" s="178"/>
      <c r="AS73" s="178"/>
      <c r="AT73" s="178"/>
      <c r="AU73" s="179" t="str">
        <f>IFERROR(VLOOKUP(AT73,'Seguridad Información'!$I$61:$J$65,2,0),"")</f>
        <v/>
      </c>
      <c r="AV73" s="83"/>
      <c r="AW73" s="82" t="str">
        <f t="shared" si="12"/>
        <v/>
      </c>
      <c r="AX73" s="81" t="str">
        <f t="shared" si="22"/>
        <v/>
      </c>
      <c r="AY73" s="22" t="str">
        <f>IFERROR(VLOOKUP((CONCATENATE(AM73,AX73)),Listados!$U$3:$V$11,2,FALSE),"")</f>
        <v/>
      </c>
      <c r="AZ73" s="111">
        <f t="shared" ref="AZ73:AZ136" si="23">IF(ISBLANK(AY73),"",IF(AY73="Débil", 0, IF(AY73="Moderado",50,100)))</f>
        <v>100</v>
      </c>
      <c r="BA73" s="716">
        <f>AVERAGE(AZ73:AZ78)</f>
        <v>100</v>
      </c>
      <c r="BB73" s="718" t="str">
        <f>IF(BA73&lt;=50, "Débil", IF(BA73&lt;=99,"Moderado","Fuerte"))</f>
        <v>Fuerte</v>
      </c>
      <c r="BC73" s="142">
        <f>+IF(AND(W73="Preventivo",BB73="Fuerte"),2,IF(AND(W73="Preventivo",BB73="Moderado"),1,0))</f>
        <v>0</v>
      </c>
      <c r="BD73" s="68">
        <f>+IF(AND(W73="Detectivo/Correctivo",$BB73="Fuerte"),2,IF(AND(W73="Detectivo/Correctivo",$BB73="Moderado"),1,IF(AND(W73="Preventivo",$BB73="Fuerte"),1,0)))</f>
        <v>0</v>
      </c>
      <c r="BE73" s="142" t="e">
        <f>+N73-BC73</f>
        <v>#N/A</v>
      </c>
      <c r="BF73" s="142" t="e">
        <f>+P73-BD73</f>
        <v>#N/A</v>
      </c>
      <c r="BG73" s="712" t="e">
        <f>+VLOOKUP(MIN(BE73,BE74,BE75,BE76,BE77,BE78),Listados!$J$18:$K$24,2,TRUE)</f>
        <v>#N/A</v>
      </c>
      <c r="BH73" s="712" t="e">
        <f>+VLOOKUP(MIN(BF73,BF74,BF75,BF76,BF77,BF78),Listados!$J$27:$K$32,2,TRUE)</f>
        <v>#N/A</v>
      </c>
      <c r="BI73" s="712" t="e">
        <f>IF(AND(BG73&lt;&gt;"",BH73&lt;&gt;""),VLOOKUP(BG73&amp;BH73,Listados!$M$3:$N$27,2,FALSE),"")</f>
        <v>#N/A</v>
      </c>
      <c r="BJ73" s="802" t="e">
        <f>+IF($R73="Asumir el riesgo","NA","")</f>
        <v>#N/A</v>
      </c>
      <c r="BK73" s="802" t="e">
        <f>+IF($R73="Asumir el riesgo","NA","")</f>
        <v>#N/A</v>
      </c>
      <c r="BL73" s="802" t="e">
        <f>+IF($R73="Asumir el riesgo","NA","")</f>
        <v>#N/A</v>
      </c>
      <c r="BM73" s="802" t="e">
        <f>+IF($R73="Asumir el riesgo","NA","")</f>
        <v>#N/A</v>
      </c>
    </row>
    <row r="74" spans="1:65" ht="65.150000000000006" customHeight="1" thickBot="1">
      <c r="A74" s="724"/>
      <c r="B74" s="812"/>
      <c r="C74" s="730"/>
      <c r="D74" s="158"/>
      <c r="E74" s="158"/>
      <c r="F74" s="814"/>
      <c r="G74" s="736"/>
      <c r="H74" s="105"/>
      <c r="I74" s="161"/>
      <c r="J74" s="105"/>
      <c r="K74" s="160"/>
      <c r="L74" s="150"/>
      <c r="M74" s="727"/>
      <c r="N74" s="720"/>
      <c r="O74" s="810"/>
      <c r="P74" s="720"/>
      <c r="Q74" s="715"/>
      <c r="R74" s="713"/>
      <c r="S74" s="140"/>
      <c r="T74" s="180"/>
      <c r="U74" s="52" t="s">
        <v>467</v>
      </c>
      <c r="V74" s="145"/>
      <c r="W74" s="145"/>
      <c r="X74" s="145"/>
      <c r="Y74" s="99" t="str">
        <f t="shared" si="13"/>
        <v/>
      </c>
      <c r="Z74" s="145"/>
      <c r="AA74" s="99" t="str">
        <f t="shared" si="14"/>
        <v/>
      </c>
      <c r="AB74" s="140"/>
      <c r="AC74" s="99" t="str">
        <f t="shared" si="15"/>
        <v/>
      </c>
      <c r="AD74" s="140"/>
      <c r="AE74" s="99" t="str">
        <f t="shared" si="16"/>
        <v/>
      </c>
      <c r="AF74" s="140"/>
      <c r="AG74" s="99" t="str">
        <f t="shared" si="17"/>
        <v/>
      </c>
      <c r="AH74" s="140"/>
      <c r="AI74" s="99" t="str">
        <f t="shared" si="18"/>
        <v/>
      </c>
      <c r="AJ74" s="140"/>
      <c r="AK74" s="28" t="str">
        <f t="shared" si="19"/>
        <v/>
      </c>
      <c r="AL74" s="111" t="str">
        <f t="shared" si="20"/>
        <v/>
      </c>
      <c r="AM74" s="111" t="str">
        <f t="shared" si="21"/>
        <v/>
      </c>
      <c r="AN74" s="178"/>
      <c r="AO74" s="178"/>
      <c r="AP74" s="178"/>
      <c r="AQ74" s="178"/>
      <c r="AR74" s="178"/>
      <c r="AS74" s="178"/>
      <c r="AT74" s="178"/>
      <c r="AU74" s="179" t="str">
        <f>IFERROR(VLOOKUP(AT74,'Seguridad Información'!$I$61:$J$65,2,0),"")</f>
        <v/>
      </c>
      <c r="AV74" s="83"/>
      <c r="AW74" s="82" t="str">
        <f t="shared" si="12"/>
        <v/>
      </c>
      <c r="AX74" s="81" t="str">
        <f t="shared" si="22"/>
        <v/>
      </c>
      <c r="AY74" s="22" t="str">
        <f>IFERROR(VLOOKUP((CONCATENATE(AM74,AX74)),Listados!$U$3:$V$11,2,FALSE),"")</f>
        <v/>
      </c>
      <c r="AZ74" s="111">
        <f t="shared" si="23"/>
        <v>100</v>
      </c>
      <c r="BA74" s="717"/>
      <c r="BB74" s="761"/>
      <c r="BC74" s="142">
        <f>+IF(AND(W74="Preventivo",BB73="Fuerte"),2,IF(AND(W74="Preventivo",BB73="Moderado"),1,0))</f>
        <v>0</v>
      </c>
      <c r="BD74" s="68">
        <f>+IF(AND(W74="Detectivo/Correctivo",$BB73="Fuerte"),2,IF(AND(W74="Detectivo/Correctivo",$BB74="Moderado"),1,IF(AND(W74="Preventivo",$BB73="Fuerte"),1,0)))</f>
        <v>0</v>
      </c>
      <c r="BE74" s="142" t="e">
        <f>+N73-BC74</f>
        <v>#N/A</v>
      </c>
      <c r="BF74" s="142" t="e">
        <f>+P73-BD74</f>
        <v>#N/A</v>
      </c>
      <c r="BG74" s="713"/>
      <c r="BH74" s="713"/>
      <c r="BI74" s="713"/>
      <c r="BJ74" s="803"/>
      <c r="BK74" s="803"/>
      <c r="BL74" s="803"/>
      <c r="BM74" s="803"/>
    </row>
    <row r="75" spans="1:65" ht="65.150000000000006" customHeight="1" thickBot="1">
      <c r="A75" s="724"/>
      <c r="B75" s="812"/>
      <c r="C75" s="730"/>
      <c r="D75" s="158"/>
      <c r="E75" s="158"/>
      <c r="F75" s="814"/>
      <c r="G75" s="736"/>
      <c r="H75" s="105"/>
      <c r="I75" s="161"/>
      <c r="J75" s="105"/>
      <c r="K75" s="160"/>
      <c r="L75" s="150"/>
      <c r="M75" s="727"/>
      <c r="N75" s="720"/>
      <c r="O75" s="810"/>
      <c r="P75" s="720"/>
      <c r="Q75" s="715"/>
      <c r="R75" s="713"/>
      <c r="S75" s="140"/>
      <c r="T75" s="100"/>
      <c r="U75" s="52" t="s">
        <v>467</v>
      </c>
      <c r="V75" s="145"/>
      <c r="W75" s="145"/>
      <c r="X75" s="145"/>
      <c r="Y75" s="99" t="str">
        <f t="shared" si="13"/>
        <v/>
      </c>
      <c r="Z75" s="145"/>
      <c r="AA75" s="99" t="str">
        <f t="shared" si="14"/>
        <v/>
      </c>
      <c r="AB75" s="140"/>
      <c r="AC75" s="99" t="str">
        <f t="shared" si="15"/>
        <v/>
      </c>
      <c r="AD75" s="140"/>
      <c r="AE75" s="99" t="str">
        <f t="shared" si="16"/>
        <v/>
      </c>
      <c r="AF75" s="140"/>
      <c r="AG75" s="99" t="str">
        <f t="shared" si="17"/>
        <v/>
      </c>
      <c r="AH75" s="140"/>
      <c r="AI75" s="99" t="str">
        <f t="shared" si="18"/>
        <v/>
      </c>
      <c r="AJ75" s="140"/>
      <c r="AK75" s="28" t="str">
        <f t="shared" si="19"/>
        <v/>
      </c>
      <c r="AL75" s="111" t="str">
        <f t="shared" si="20"/>
        <v/>
      </c>
      <c r="AM75" s="111" t="str">
        <f t="shared" si="21"/>
        <v/>
      </c>
      <c r="AN75" s="178"/>
      <c r="AO75" s="178"/>
      <c r="AP75" s="178"/>
      <c r="AQ75" s="178"/>
      <c r="AR75" s="178"/>
      <c r="AS75" s="178"/>
      <c r="AT75" s="178"/>
      <c r="AU75" s="179" t="str">
        <f>IFERROR(VLOOKUP(AT75,'Seguridad Información'!$I$61:$J$65,2,0),"")</f>
        <v/>
      </c>
      <c r="AV75" s="83"/>
      <c r="AW75" s="82" t="str">
        <f t="shared" si="12"/>
        <v/>
      </c>
      <c r="AX75" s="81" t="str">
        <f t="shared" si="22"/>
        <v/>
      </c>
      <c r="AY75" s="22" t="str">
        <f>IFERROR(VLOOKUP((CONCATENATE(AM75,AX75)),Listados!$U$3:$V$11,2,FALSE),"")</f>
        <v/>
      </c>
      <c r="AZ75" s="111">
        <f t="shared" si="23"/>
        <v>100</v>
      </c>
      <c r="BA75" s="717"/>
      <c r="BB75" s="761"/>
      <c r="BC75" s="142">
        <f>+IF(AND(W75="Preventivo",BB73="Fuerte"),2,IF(AND(W75="Preventivo",BB73="Moderado"),1,0))</f>
        <v>0</v>
      </c>
      <c r="BD75" s="68">
        <f>+IF(AND(W75="Detectivo/Correctivo",$BB73="Fuerte"),2,IF(AND(W75="Detectivo/Correctivo",$BB75="Moderado"),1,IF(AND(W75="Preventivo",$BB73="Fuerte"),1,0)))</f>
        <v>0</v>
      </c>
      <c r="BE75" s="142" t="e">
        <f>+N73-BC75</f>
        <v>#N/A</v>
      </c>
      <c r="BF75" s="142" t="e">
        <f>+P73-BD75</f>
        <v>#N/A</v>
      </c>
      <c r="BG75" s="713"/>
      <c r="BH75" s="713"/>
      <c r="BI75" s="713"/>
      <c r="BJ75" s="803"/>
      <c r="BK75" s="803"/>
      <c r="BL75" s="803"/>
      <c r="BM75" s="803"/>
    </row>
    <row r="76" spans="1:65" ht="65.150000000000006" customHeight="1" thickBot="1">
      <c r="A76" s="724"/>
      <c r="B76" s="812"/>
      <c r="C76" s="730"/>
      <c r="D76" s="158"/>
      <c r="E76" s="158"/>
      <c r="F76" s="814"/>
      <c r="G76" s="736"/>
      <c r="H76" s="105"/>
      <c r="I76" s="161"/>
      <c r="J76" s="105"/>
      <c r="K76" s="160"/>
      <c r="L76" s="150"/>
      <c r="M76" s="727"/>
      <c r="N76" s="720"/>
      <c r="O76" s="810"/>
      <c r="P76" s="720"/>
      <c r="Q76" s="715"/>
      <c r="R76" s="713"/>
      <c r="S76" s="140"/>
      <c r="T76" s="101"/>
      <c r="U76" s="52" t="s">
        <v>467</v>
      </c>
      <c r="V76" s="145"/>
      <c r="W76" s="145"/>
      <c r="X76" s="145"/>
      <c r="Y76" s="99" t="str">
        <f t="shared" si="13"/>
        <v/>
      </c>
      <c r="Z76" s="145"/>
      <c r="AA76" s="99" t="str">
        <f t="shared" si="14"/>
        <v/>
      </c>
      <c r="AB76" s="140"/>
      <c r="AC76" s="99" t="str">
        <f t="shared" si="15"/>
        <v/>
      </c>
      <c r="AD76" s="140"/>
      <c r="AE76" s="99" t="str">
        <f t="shared" si="16"/>
        <v/>
      </c>
      <c r="AF76" s="140"/>
      <c r="AG76" s="99" t="str">
        <f t="shared" si="17"/>
        <v/>
      </c>
      <c r="AH76" s="140"/>
      <c r="AI76" s="99" t="str">
        <f t="shared" si="18"/>
        <v/>
      </c>
      <c r="AJ76" s="140"/>
      <c r="AK76" s="28" t="str">
        <f t="shared" si="19"/>
        <v/>
      </c>
      <c r="AL76" s="111" t="str">
        <f t="shared" si="20"/>
        <v/>
      </c>
      <c r="AM76" s="111" t="str">
        <f t="shared" si="21"/>
        <v/>
      </c>
      <c r="AN76" s="178"/>
      <c r="AO76" s="178"/>
      <c r="AP76" s="178"/>
      <c r="AQ76" s="178"/>
      <c r="AR76" s="178"/>
      <c r="AS76" s="178"/>
      <c r="AT76" s="178"/>
      <c r="AU76" s="179" t="str">
        <f>IFERROR(VLOOKUP(AT76,'Seguridad Información'!$I$61:$J$65,2,0),"")</f>
        <v/>
      </c>
      <c r="AV76" s="83"/>
      <c r="AW76" s="82" t="str">
        <f t="shared" si="12"/>
        <v/>
      </c>
      <c r="AX76" s="81" t="str">
        <f t="shared" si="22"/>
        <v/>
      </c>
      <c r="AY76" s="22" t="str">
        <f>IFERROR(VLOOKUP((CONCATENATE(AM76,AX76)),Listados!$U$3:$V$11,2,FALSE),"")</f>
        <v/>
      </c>
      <c r="AZ76" s="111">
        <f t="shared" si="23"/>
        <v>100</v>
      </c>
      <c r="BA76" s="717"/>
      <c r="BB76" s="761"/>
      <c r="BC76" s="142">
        <f>+IF(AND(W76="Preventivo",BB73="Fuerte"),2,IF(AND(W76="Preventivo",BB73="Moderado"),1,0))</f>
        <v>0</v>
      </c>
      <c r="BD76" s="68">
        <f>+IF(AND(W76="Detectivo/Correctivo",$BB73="Fuerte"),2,IF(AND(W76="Detectivo/Correctivo",$BB76="Moderado"),1,IF(AND(W76="Preventivo",$BB73="Fuerte"),1,0)))</f>
        <v>0</v>
      </c>
      <c r="BE76" s="142" t="e">
        <f>+N73-BC76</f>
        <v>#N/A</v>
      </c>
      <c r="BF76" s="142" t="e">
        <f>+P73-BD76</f>
        <v>#N/A</v>
      </c>
      <c r="BG76" s="713"/>
      <c r="BH76" s="713"/>
      <c r="BI76" s="713"/>
      <c r="BJ76" s="803"/>
      <c r="BK76" s="803"/>
      <c r="BL76" s="803"/>
      <c r="BM76" s="803"/>
    </row>
    <row r="77" spans="1:65" ht="65.150000000000006" customHeight="1" thickBot="1">
      <c r="A77" s="724"/>
      <c r="B77" s="812"/>
      <c r="C77" s="730"/>
      <c r="D77" s="116"/>
      <c r="E77" s="116"/>
      <c r="F77" s="814"/>
      <c r="G77" s="736"/>
      <c r="H77" s="105"/>
      <c r="I77" s="161"/>
      <c r="J77" s="105"/>
      <c r="K77" s="29"/>
      <c r="L77" s="150"/>
      <c r="M77" s="727"/>
      <c r="N77" s="720"/>
      <c r="O77" s="810"/>
      <c r="P77" s="720"/>
      <c r="Q77" s="715"/>
      <c r="R77" s="713"/>
      <c r="S77" s="140"/>
      <c r="T77" s="180"/>
      <c r="U77" s="52" t="s">
        <v>467</v>
      </c>
      <c r="V77" s="145"/>
      <c r="W77" s="145"/>
      <c r="X77" s="145"/>
      <c r="Y77" s="99" t="str">
        <f t="shared" si="13"/>
        <v/>
      </c>
      <c r="Z77" s="145"/>
      <c r="AA77" s="99" t="str">
        <f t="shared" si="14"/>
        <v/>
      </c>
      <c r="AB77" s="140"/>
      <c r="AC77" s="99" t="str">
        <f t="shared" si="15"/>
        <v/>
      </c>
      <c r="AD77" s="140"/>
      <c r="AE77" s="99" t="str">
        <f t="shared" si="16"/>
        <v/>
      </c>
      <c r="AF77" s="140"/>
      <c r="AG77" s="99" t="str">
        <f t="shared" si="17"/>
        <v/>
      </c>
      <c r="AH77" s="140"/>
      <c r="AI77" s="99" t="str">
        <f t="shared" si="18"/>
        <v/>
      </c>
      <c r="AJ77" s="140"/>
      <c r="AK77" s="28" t="str">
        <f t="shared" si="19"/>
        <v/>
      </c>
      <c r="AL77" s="111" t="str">
        <f t="shared" si="20"/>
        <v/>
      </c>
      <c r="AM77" s="111" t="str">
        <f t="shared" si="21"/>
        <v/>
      </c>
      <c r="AN77" s="178"/>
      <c r="AO77" s="178"/>
      <c r="AP77" s="178"/>
      <c r="AQ77" s="178"/>
      <c r="AR77" s="178"/>
      <c r="AS77" s="178"/>
      <c r="AT77" s="178"/>
      <c r="AU77" s="179" t="str">
        <f>IFERROR(VLOOKUP(AT77,'Seguridad Información'!$I$61:$J$65,2,0),"")</f>
        <v/>
      </c>
      <c r="AV77" s="83"/>
      <c r="AW77" s="82" t="str">
        <f t="shared" si="12"/>
        <v/>
      </c>
      <c r="AX77" s="81" t="str">
        <f t="shared" si="22"/>
        <v/>
      </c>
      <c r="AY77" s="22" t="str">
        <f>IFERROR(VLOOKUP((CONCATENATE(AM77,AX77)),Listados!$U$3:$V$11,2,FALSE),"")</f>
        <v/>
      </c>
      <c r="AZ77" s="111">
        <f t="shared" si="23"/>
        <v>100</v>
      </c>
      <c r="BA77" s="717"/>
      <c r="BB77" s="761"/>
      <c r="BC77" s="142">
        <f>+IF(AND(W77="Preventivo",BB73="Fuerte"),2,IF(AND(W77="Preventivo",BB73="Moderado"),1,0))</f>
        <v>0</v>
      </c>
      <c r="BD77" s="68">
        <f>+IF(AND(W77="Detectivo/Correctivo",$BB73="Fuerte"),2,IF(AND(W77="Detectivo/Correctivo",$BB77="Moderado"),1,IF(AND(W77="Preventivo",$BB73="Fuerte"),1,0)))</f>
        <v>0</v>
      </c>
      <c r="BE77" s="142" t="e">
        <f>+N73-BC77</f>
        <v>#N/A</v>
      </c>
      <c r="BF77" s="142" t="e">
        <f>+P73-BD77</f>
        <v>#N/A</v>
      </c>
      <c r="BG77" s="713"/>
      <c r="BH77" s="713"/>
      <c r="BI77" s="713"/>
      <c r="BJ77" s="803"/>
      <c r="BK77" s="803"/>
      <c r="BL77" s="803"/>
      <c r="BM77" s="803"/>
    </row>
    <row r="78" spans="1:65" ht="65.150000000000006" customHeight="1" thickBot="1">
      <c r="A78" s="725"/>
      <c r="B78" s="812"/>
      <c r="C78" s="731"/>
      <c r="D78" s="113"/>
      <c r="E78" s="113"/>
      <c r="F78" s="815"/>
      <c r="G78" s="781"/>
      <c r="H78" s="105"/>
      <c r="I78" s="161"/>
      <c r="J78" s="105"/>
      <c r="K78" s="30"/>
      <c r="L78" s="150"/>
      <c r="M78" s="727"/>
      <c r="N78" s="721"/>
      <c r="O78" s="810"/>
      <c r="P78" s="721"/>
      <c r="Q78" s="715"/>
      <c r="R78" s="714"/>
      <c r="S78" s="140"/>
      <c r="T78" s="102"/>
      <c r="U78" s="52" t="s">
        <v>467</v>
      </c>
      <c r="V78" s="145"/>
      <c r="W78" s="145"/>
      <c r="X78" s="145"/>
      <c r="Y78" s="99" t="str">
        <f t="shared" si="13"/>
        <v/>
      </c>
      <c r="Z78" s="145"/>
      <c r="AA78" s="99" t="str">
        <f t="shared" si="14"/>
        <v/>
      </c>
      <c r="AB78" s="140"/>
      <c r="AC78" s="99" t="str">
        <f t="shared" si="15"/>
        <v/>
      </c>
      <c r="AD78" s="140"/>
      <c r="AE78" s="99" t="str">
        <f t="shared" si="16"/>
        <v/>
      </c>
      <c r="AF78" s="140"/>
      <c r="AG78" s="99" t="str">
        <f t="shared" si="17"/>
        <v/>
      </c>
      <c r="AH78" s="140"/>
      <c r="AI78" s="99" t="str">
        <f t="shared" si="18"/>
        <v/>
      </c>
      <c r="AJ78" s="140"/>
      <c r="AK78" s="28" t="str">
        <f t="shared" si="19"/>
        <v/>
      </c>
      <c r="AL78" s="111" t="str">
        <f t="shared" si="20"/>
        <v/>
      </c>
      <c r="AM78" s="111" t="str">
        <f t="shared" si="21"/>
        <v/>
      </c>
      <c r="AN78" s="178"/>
      <c r="AO78" s="178"/>
      <c r="AP78" s="178"/>
      <c r="AQ78" s="178"/>
      <c r="AR78" s="178"/>
      <c r="AS78" s="178"/>
      <c r="AT78" s="178"/>
      <c r="AU78" s="179" t="str">
        <f>IFERROR(VLOOKUP(AT78,'Seguridad Información'!$I$61:$J$65,2,0),"")</f>
        <v/>
      </c>
      <c r="AV78" s="83"/>
      <c r="AW78" s="82" t="str">
        <f t="shared" si="12"/>
        <v/>
      </c>
      <c r="AX78" s="81" t="str">
        <f t="shared" si="22"/>
        <v/>
      </c>
      <c r="AY78" s="22" t="str">
        <f>IFERROR(VLOOKUP((CONCATENATE(AM78,AX78)),Listados!$U$3:$V$11,2,FALSE),"")</f>
        <v/>
      </c>
      <c r="AZ78" s="111">
        <f t="shared" si="23"/>
        <v>100</v>
      </c>
      <c r="BA78" s="718"/>
      <c r="BB78" s="761"/>
      <c r="BC78" s="142">
        <f>+IF(AND(W78="Preventivo",BB73="Fuerte"),2,IF(AND(W78="Preventivo",BB73="Moderado"),1,0))</f>
        <v>0</v>
      </c>
      <c r="BD78" s="68">
        <f>+IF(AND(W78="Detectivo/Correctivo",$BB73="Fuerte"),2,IF(AND(W78="Detectivo/Correctivo",$BB78="Moderado"),1,IF(AND(W78="Preventivo",$BB73="Fuerte"),1,0)))</f>
        <v>0</v>
      </c>
      <c r="BE78" s="142" t="e">
        <f>+N73-BC78</f>
        <v>#N/A</v>
      </c>
      <c r="BF78" s="142" t="e">
        <f>+P73-BD78</f>
        <v>#N/A</v>
      </c>
      <c r="BG78" s="714"/>
      <c r="BH78" s="714"/>
      <c r="BI78" s="714"/>
      <c r="BJ78" s="804"/>
      <c r="BK78" s="804"/>
      <c r="BL78" s="804"/>
      <c r="BM78" s="804"/>
    </row>
    <row r="79" spans="1:65" ht="65.150000000000006" customHeight="1" thickBot="1">
      <c r="A79" s="723">
        <v>13</v>
      </c>
      <c r="B79" s="811"/>
      <c r="C79" s="729" t="str">
        <f>IFERROR(VLOOKUP(B79,Listados!B$3:C$20,2,FALSE),"")</f>
        <v/>
      </c>
      <c r="D79" s="114"/>
      <c r="E79" s="114"/>
      <c r="F79" s="813"/>
      <c r="G79" s="735"/>
      <c r="H79" s="105"/>
      <c r="I79" s="161"/>
      <c r="J79" s="105"/>
      <c r="K79" s="109"/>
      <c r="L79" s="18"/>
      <c r="M79" s="762"/>
      <c r="N79" s="719" t="e">
        <f>+VLOOKUP(M79,Listados!$K$8:$L$12,2,0)</f>
        <v>#N/A</v>
      </c>
      <c r="O79" s="809"/>
      <c r="P79" s="719" t="e">
        <f>+VLOOKUP(O79,Listados!$K$13:$L$17,2,0)</f>
        <v>#N/A</v>
      </c>
      <c r="Q79" s="714" t="str">
        <f>IF(AND(M79&lt;&gt;"",O79&lt;&gt;""),VLOOKUP(M79&amp;O79,Listados!$M$3:$N$27,2,FALSE),"")</f>
        <v/>
      </c>
      <c r="R79" s="712" t="e">
        <f>+VLOOKUP(Q79,Listados!$P$3:$Q$6,2,FALSE)</f>
        <v>#N/A</v>
      </c>
      <c r="S79" s="140"/>
      <c r="T79" s="98"/>
      <c r="U79" s="52" t="s">
        <v>467</v>
      </c>
      <c r="V79" s="145"/>
      <c r="W79" s="145"/>
      <c r="X79" s="145"/>
      <c r="Y79" s="99" t="str">
        <f t="shared" si="13"/>
        <v/>
      </c>
      <c r="Z79" s="145"/>
      <c r="AA79" s="99" t="str">
        <f t="shared" si="14"/>
        <v/>
      </c>
      <c r="AB79" s="140"/>
      <c r="AC79" s="99" t="str">
        <f t="shared" si="15"/>
        <v/>
      </c>
      <c r="AD79" s="140"/>
      <c r="AE79" s="99" t="str">
        <f t="shared" si="16"/>
        <v/>
      </c>
      <c r="AF79" s="140"/>
      <c r="AG79" s="99" t="str">
        <f t="shared" si="17"/>
        <v/>
      </c>
      <c r="AH79" s="140"/>
      <c r="AI79" s="99" t="str">
        <f t="shared" si="18"/>
        <v/>
      </c>
      <c r="AJ79" s="140"/>
      <c r="AK79" s="28" t="str">
        <f t="shared" si="19"/>
        <v/>
      </c>
      <c r="AL79" s="111" t="str">
        <f t="shared" si="20"/>
        <v/>
      </c>
      <c r="AM79" s="111" t="str">
        <f t="shared" si="21"/>
        <v/>
      </c>
      <c r="AN79" s="178"/>
      <c r="AO79" s="178"/>
      <c r="AP79" s="178"/>
      <c r="AQ79" s="178"/>
      <c r="AR79" s="178"/>
      <c r="AS79" s="178"/>
      <c r="AT79" s="178"/>
      <c r="AU79" s="179" t="str">
        <f>IFERROR(VLOOKUP(AT79,'Seguridad Información'!$I$61:$J$65,2,0),"")</f>
        <v/>
      </c>
      <c r="AV79" s="83"/>
      <c r="AW79" s="82" t="str">
        <f t="shared" si="12"/>
        <v/>
      </c>
      <c r="AX79" s="81" t="str">
        <f t="shared" si="22"/>
        <v/>
      </c>
      <c r="AY79" s="22" t="str">
        <f>IFERROR(VLOOKUP((CONCATENATE(AM79,AX79)),Listados!$U$3:$V$11,2,FALSE),"")</f>
        <v/>
      </c>
      <c r="AZ79" s="111">
        <f t="shared" si="23"/>
        <v>100</v>
      </c>
      <c r="BA79" s="716">
        <f>AVERAGE(AZ79:AZ84)</f>
        <v>100</v>
      </c>
      <c r="BB79" s="718" t="str">
        <f>IF(BA79&lt;=50, "Débil", IF(BA79&lt;=99,"Moderado","Fuerte"))</f>
        <v>Fuerte</v>
      </c>
      <c r="BC79" s="142">
        <f>+IF(AND(W79="Preventivo",BB79="Fuerte"),2,IF(AND(W79="Preventivo",BB79="Moderado"),1,0))</f>
        <v>0</v>
      </c>
      <c r="BD79" s="68">
        <f>+IF(AND(W79="Detectivo/Correctivo",$BB79="Fuerte"),2,IF(AND(W79="Detectivo/Correctivo",$BB79="Moderado"),1,IF(AND(W79="Preventivo",$BB79="Fuerte"),1,0)))</f>
        <v>0</v>
      </c>
      <c r="BE79" s="142" t="e">
        <f>+N79-BC79</f>
        <v>#N/A</v>
      </c>
      <c r="BF79" s="142" t="e">
        <f>+P79-BD79</f>
        <v>#N/A</v>
      </c>
      <c r="BG79" s="712" t="e">
        <f>+VLOOKUP(MIN(BE79,BE80,BE81,BE82,BE83,BE84),Listados!$J$18:$K$24,2,TRUE)</f>
        <v>#N/A</v>
      </c>
      <c r="BH79" s="712" t="e">
        <f>+VLOOKUP(MIN(BF79,BF80,BF81,BF82,BF83,BF84),Listados!$J$27:$K$32,2,TRUE)</f>
        <v>#N/A</v>
      </c>
      <c r="BI79" s="712" t="e">
        <f>IF(AND(BG79&lt;&gt;"",BH79&lt;&gt;""),VLOOKUP(BG79&amp;BH79,Listados!$M$3:$N$27,2,FALSE),"")</f>
        <v>#N/A</v>
      </c>
      <c r="BJ79" s="802" t="e">
        <f>+IF($R79="Asumir el riesgo","NA","")</f>
        <v>#N/A</v>
      </c>
      <c r="BK79" s="802" t="e">
        <f>+IF($R79="Asumir el riesgo","NA","")</f>
        <v>#N/A</v>
      </c>
      <c r="BL79" s="802" t="e">
        <f>+IF($R79="Asumir el riesgo","NA","")</f>
        <v>#N/A</v>
      </c>
      <c r="BM79" s="802" t="e">
        <f>+IF($R79="Asumir el riesgo","NA","")</f>
        <v>#N/A</v>
      </c>
    </row>
    <row r="80" spans="1:65" ht="65.150000000000006" customHeight="1" thickBot="1">
      <c r="A80" s="724"/>
      <c r="B80" s="812"/>
      <c r="C80" s="730"/>
      <c r="D80" s="158"/>
      <c r="E80" s="158"/>
      <c r="F80" s="814"/>
      <c r="G80" s="736"/>
      <c r="H80" s="105"/>
      <c r="I80" s="161"/>
      <c r="J80" s="105"/>
      <c r="K80" s="160"/>
      <c r="L80" s="150"/>
      <c r="M80" s="727"/>
      <c r="N80" s="720"/>
      <c r="O80" s="810"/>
      <c r="P80" s="720"/>
      <c r="Q80" s="715"/>
      <c r="R80" s="713"/>
      <c r="S80" s="140"/>
      <c r="T80" s="180"/>
      <c r="U80" s="52" t="s">
        <v>467</v>
      </c>
      <c r="V80" s="145"/>
      <c r="W80" s="145"/>
      <c r="X80" s="145"/>
      <c r="Y80" s="99" t="str">
        <f t="shared" si="13"/>
        <v/>
      </c>
      <c r="Z80" s="145"/>
      <c r="AA80" s="99" t="str">
        <f t="shared" si="14"/>
        <v/>
      </c>
      <c r="AB80" s="140"/>
      <c r="AC80" s="99" t="str">
        <f t="shared" si="15"/>
        <v/>
      </c>
      <c r="AD80" s="140"/>
      <c r="AE80" s="99" t="str">
        <f t="shared" si="16"/>
        <v/>
      </c>
      <c r="AF80" s="140"/>
      <c r="AG80" s="99" t="str">
        <f t="shared" si="17"/>
        <v/>
      </c>
      <c r="AH80" s="140"/>
      <c r="AI80" s="99" t="str">
        <f t="shared" si="18"/>
        <v/>
      </c>
      <c r="AJ80" s="140"/>
      <c r="AK80" s="28" t="str">
        <f t="shared" si="19"/>
        <v/>
      </c>
      <c r="AL80" s="111" t="str">
        <f t="shared" si="20"/>
        <v/>
      </c>
      <c r="AM80" s="111" t="str">
        <f t="shared" si="21"/>
        <v/>
      </c>
      <c r="AN80" s="178"/>
      <c r="AO80" s="178"/>
      <c r="AP80" s="178"/>
      <c r="AQ80" s="178"/>
      <c r="AR80" s="178"/>
      <c r="AS80" s="178"/>
      <c r="AT80" s="178"/>
      <c r="AU80" s="179" t="str">
        <f>IFERROR(VLOOKUP(AT80,'Seguridad Información'!$I$61:$J$65,2,0),"")</f>
        <v/>
      </c>
      <c r="AV80" s="83"/>
      <c r="AW80" s="82" t="str">
        <f t="shared" si="12"/>
        <v/>
      </c>
      <c r="AX80" s="81" t="str">
        <f t="shared" si="22"/>
        <v/>
      </c>
      <c r="AY80" s="22" t="str">
        <f>IFERROR(VLOOKUP((CONCATENATE(AM80,AX80)),Listados!$U$3:$V$11,2,FALSE),"")</f>
        <v/>
      </c>
      <c r="AZ80" s="111">
        <f t="shared" si="23"/>
        <v>100</v>
      </c>
      <c r="BA80" s="717"/>
      <c r="BB80" s="761"/>
      <c r="BC80" s="142">
        <f>+IF(AND(W80="Preventivo",BB79="Fuerte"),2,IF(AND(W80="Preventivo",BB79="Moderado"),1,0))</f>
        <v>0</v>
      </c>
      <c r="BD80" s="68">
        <f>+IF(AND(W80="Detectivo/Correctivo",$BB79="Fuerte"),2,IF(AND(W80="Detectivo/Correctivo",$BB80="Moderado"),1,IF(AND(W80="Preventivo",$BB79="Fuerte"),1,0)))</f>
        <v>0</v>
      </c>
      <c r="BE80" s="142" t="e">
        <f>+N79-BC80</f>
        <v>#N/A</v>
      </c>
      <c r="BF80" s="142" t="e">
        <f>+P79-BD80</f>
        <v>#N/A</v>
      </c>
      <c r="BG80" s="713"/>
      <c r="BH80" s="713"/>
      <c r="BI80" s="713"/>
      <c r="BJ80" s="803"/>
      <c r="BK80" s="803"/>
      <c r="BL80" s="803"/>
      <c r="BM80" s="803"/>
    </row>
    <row r="81" spans="1:65" ht="65.150000000000006" customHeight="1" thickBot="1">
      <c r="A81" s="724"/>
      <c r="B81" s="812"/>
      <c r="C81" s="730"/>
      <c r="D81" s="158"/>
      <c r="E81" s="158"/>
      <c r="F81" s="814"/>
      <c r="G81" s="736"/>
      <c r="H81" s="105"/>
      <c r="I81" s="161"/>
      <c r="J81" s="105"/>
      <c r="K81" s="160"/>
      <c r="L81" s="150"/>
      <c r="M81" s="727"/>
      <c r="N81" s="720"/>
      <c r="O81" s="810"/>
      <c r="P81" s="720"/>
      <c r="Q81" s="715"/>
      <c r="R81" s="713"/>
      <c r="S81" s="140"/>
      <c r="T81" s="100"/>
      <c r="U81" s="52" t="s">
        <v>467</v>
      </c>
      <c r="V81" s="145"/>
      <c r="W81" s="145"/>
      <c r="X81" s="145"/>
      <c r="Y81" s="99" t="str">
        <f t="shared" si="13"/>
        <v/>
      </c>
      <c r="Z81" s="145"/>
      <c r="AA81" s="99" t="str">
        <f t="shared" si="14"/>
        <v/>
      </c>
      <c r="AB81" s="140"/>
      <c r="AC81" s="99" t="str">
        <f t="shared" si="15"/>
        <v/>
      </c>
      <c r="AD81" s="140"/>
      <c r="AE81" s="99" t="str">
        <f t="shared" si="16"/>
        <v/>
      </c>
      <c r="AF81" s="140"/>
      <c r="AG81" s="99" t="str">
        <f t="shared" si="17"/>
        <v/>
      </c>
      <c r="AH81" s="140"/>
      <c r="AI81" s="99" t="str">
        <f t="shared" si="18"/>
        <v/>
      </c>
      <c r="AJ81" s="140"/>
      <c r="AK81" s="28" t="str">
        <f t="shared" si="19"/>
        <v/>
      </c>
      <c r="AL81" s="111" t="str">
        <f t="shared" si="20"/>
        <v/>
      </c>
      <c r="AM81" s="111" t="str">
        <f t="shared" si="21"/>
        <v/>
      </c>
      <c r="AN81" s="178"/>
      <c r="AO81" s="178"/>
      <c r="AP81" s="178"/>
      <c r="AQ81" s="178"/>
      <c r="AR81" s="178"/>
      <c r="AS81" s="178"/>
      <c r="AT81" s="178"/>
      <c r="AU81" s="179" t="str">
        <f>IFERROR(VLOOKUP(AT81,'Seguridad Información'!$I$61:$J$65,2,0),"")</f>
        <v/>
      </c>
      <c r="AV81" s="83"/>
      <c r="AW81" s="82" t="str">
        <f t="shared" si="12"/>
        <v/>
      </c>
      <c r="AX81" s="81" t="str">
        <f t="shared" si="22"/>
        <v/>
      </c>
      <c r="AY81" s="22" t="str">
        <f>IFERROR(VLOOKUP((CONCATENATE(AM81,AX81)),Listados!$U$3:$V$11,2,FALSE),"")</f>
        <v/>
      </c>
      <c r="AZ81" s="111">
        <f t="shared" si="23"/>
        <v>100</v>
      </c>
      <c r="BA81" s="717"/>
      <c r="BB81" s="761"/>
      <c r="BC81" s="142">
        <f>+IF(AND(W81="Preventivo",BB79="Fuerte"),2,IF(AND(W81="Preventivo",BB79="Moderado"),1,0))</f>
        <v>0</v>
      </c>
      <c r="BD81" s="68">
        <f>+IF(AND(W81="Detectivo/Correctivo",$BB79="Fuerte"),2,IF(AND(W81="Detectivo/Correctivo",$BB81="Moderado"),1,IF(AND(W81="Preventivo",$BB79="Fuerte"),1,0)))</f>
        <v>0</v>
      </c>
      <c r="BE81" s="142" t="e">
        <f>+N79-BC81</f>
        <v>#N/A</v>
      </c>
      <c r="BF81" s="142" t="e">
        <f>+P79-BD81</f>
        <v>#N/A</v>
      </c>
      <c r="BG81" s="713"/>
      <c r="BH81" s="713"/>
      <c r="BI81" s="713"/>
      <c r="BJ81" s="803"/>
      <c r="BK81" s="803"/>
      <c r="BL81" s="803"/>
      <c r="BM81" s="803"/>
    </row>
    <row r="82" spans="1:65" ht="65.150000000000006" customHeight="1" thickBot="1">
      <c r="A82" s="724"/>
      <c r="B82" s="812"/>
      <c r="C82" s="730"/>
      <c r="D82" s="158"/>
      <c r="E82" s="158"/>
      <c r="F82" s="814"/>
      <c r="G82" s="736"/>
      <c r="H82" s="105"/>
      <c r="I82" s="161"/>
      <c r="J82" s="105"/>
      <c r="K82" s="160"/>
      <c r="L82" s="150"/>
      <c r="M82" s="727"/>
      <c r="N82" s="720"/>
      <c r="O82" s="810"/>
      <c r="P82" s="720"/>
      <c r="Q82" s="715"/>
      <c r="R82" s="713"/>
      <c r="S82" s="140"/>
      <c r="T82" s="101"/>
      <c r="U82" s="52" t="s">
        <v>467</v>
      </c>
      <c r="V82" s="145"/>
      <c r="W82" s="145"/>
      <c r="X82" s="145"/>
      <c r="Y82" s="99" t="str">
        <f t="shared" si="13"/>
        <v/>
      </c>
      <c r="Z82" s="145"/>
      <c r="AA82" s="99" t="str">
        <f t="shared" si="14"/>
        <v/>
      </c>
      <c r="AB82" s="140"/>
      <c r="AC82" s="99" t="str">
        <f t="shared" si="15"/>
        <v/>
      </c>
      <c r="AD82" s="140"/>
      <c r="AE82" s="99" t="str">
        <f t="shared" si="16"/>
        <v/>
      </c>
      <c r="AF82" s="140"/>
      <c r="AG82" s="99" t="str">
        <f t="shared" si="17"/>
        <v/>
      </c>
      <c r="AH82" s="140"/>
      <c r="AI82" s="99" t="str">
        <f t="shared" si="18"/>
        <v/>
      </c>
      <c r="AJ82" s="140"/>
      <c r="AK82" s="28" t="str">
        <f t="shared" si="19"/>
        <v/>
      </c>
      <c r="AL82" s="111" t="str">
        <f t="shared" si="20"/>
        <v/>
      </c>
      <c r="AM82" s="111" t="str">
        <f t="shared" si="21"/>
        <v/>
      </c>
      <c r="AN82" s="178"/>
      <c r="AO82" s="178"/>
      <c r="AP82" s="178"/>
      <c r="AQ82" s="178"/>
      <c r="AR82" s="178"/>
      <c r="AS82" s="178"/>
      <c r="AT82" s="178"/>
      <c r="AU82" s="179" t="str">
        <f>IFERROR(VLOOKUP(AT82,'Seguridad Información'!$I$61:$J$65,2,0),"")</f>
        <v/>
      </c>
      <c r="AV82" s="83"/>
      <c r="AW82" s="82" t="str">
        <f t="shared" si="12"/>
        <v/>
      </c>
      <c r="AX82" s="81" t="str">
        <f t="shared" si="22"/>
        <v/>
      </c>
      <c r="AY82" s="22" t="str">
        <f>IFERROR(VLOOKUP((CONCATENATE(AM82,AX82)),Listados!$U$3:$V$11,2,FALSE),"")</f>
        <v/>
      </c>
      <c r="AZ82" s="111">
        <f t="shared" si="23"/>
        <v>100</v>
      </c>
      <c r="BA82" s="717"/>
      <c r="BB82" s="761"/>
      <c r="BC82" s="142">
        <f>+IF(AND(W82="Preventivo",BB79="Fuerte"),2,IF(AND(W82="Preventivo",BB79="Moderado"),1,0))</f>
        <v>0</v>
      </c>
      <c r="BD82" s="68">
        <f>+IF(AND(W82="Detectivo/Correctivo",$BB79="Fuerte"),2,IF(AND(W82="Detectivo/Correctivo",$BB82="Moderado"),1,IF(AND(W82="Preventivo",$BB79="Fuerte"),1,0)))</f>
        <v>0</v>
      </c>
      <c r="BE82" s="142" t="e">
        <f>+N79-BC82</f>
        <v>#N/A</v>
      </c>
      <c r="BF82" s="142" t="e">
        <f>+P79-BD82</f>
        <v>#N/A</v>
      </c>
      <c r="BG82" s="713"/>
      <c r="BH82" s="713"/>
      <c r="BI82" s="713"/>
      <c r="BJ82" s="803"/>
      <c r="BK82" s="803"/>
      <c r="BL82" s="803"/>
      <c r="BM82" s="803"/>
    </row>
    <row r="83" spans="1:65" ht="65.150000000000006" customHeight="1" thickBot="1">
      <c r="A83" s="724"/>
      <c r="B83" s="812"/>
      <c r="C83" s="730"/>
      <c r="D83" s="116"/>
      <c r="E83" s="116"/>
      <c r="F83" s="814"/>
      <c r="G83" s="736"/>
      <c r="H83" s="105"/>
      <c r="I83" s="161"/>
      <c r="J83" s="105"/>
      <c r="K83" s="29"/>
      <c r="L83" s="150"/>
      <c r="M83" s="727"/>
      <c r="N83" s="720"/>
      <c r="O83" s="810"/>
      <c r="P83" s="720"/>
      <c r="Q83" s="715"/>
      <c r="R83" s="713"/>
      <c r="S83" s="140"/>
      <c r="T83" s="180"/>
      <c r="U83" s="52" t="s">
        <v>467</v>
      </c>
      <c r="V83" s="145"/>
      <c r="W83" s="145"/>
      <c r="X83" s="145"/>
      <c r="Y83" s="99" t="str">
        <f t="shared" si="13"/>
        <v/>
      </c>
      <c r="Z83" s="145"/>
      <c r="AA83" s="99" t="str">
        <f t="shared" si="14"/>
        <v/>
      </c>
      <c r="AB83" s="140"/>
      <c r="AC83" s="99" t="str">
        <f t="shared" si="15"/>
        <v/>
      </c>
      <c r="AD83" s="140"/>
      <c r="AE83" s="99" t="str">
        <f t="shared" si="16"/>
        <v/>
      </c>
      <c r="AF83" s="140"/>
      <c r="AG83" s="99" t="str">
        <f t="shared" si="17"/>
        <v/>
      </c>
      <c r="AH83" s="140"/>
      <c r="AI83" s="99" t="str">
        <f t="shared" si="18"/>
        <v/>
      </c>
      <c r="AJ83" s="140"/>
      <c r="AK83" s="28" t="str">
        <f t="shared" si="19"/>
        <v/>
      </c>
      <c r="AL83" s="111" t="str">
        <f t="shared" si="20"/>
        <v/>
      </c>
      <c r="AM83" s="111" t="str">
        <f t="shared" si="21"/>
        <v/>
      </c>
      <c r="AN83" s="178"/>
      <c r="AO83" s="178"/>
      <c r="AP83" s="178"/>
      <c r="AQ83" s="178"/>
      <c r="AR83" s="178"/>
      <c r="AS83" s="178"/>
      <c r="AT83" s="178"/>
      <c r="AU83" s="179" t="str">
        <f>IFERROR(VLOOKUP(AT83,'Seguridad Información'!$I$61:$J$65,2,0),"")</f>
        <v/>
      </c>
      <c r="AV83" s="83"/>
      <c r="AW83" s="82" t="str">
        <f t="shared" si="12"/>
        <v/>
      </c>
      <c r="AX83" s="81" t="str">
        <f t="shared" si="22"/>
        <v/>
      </c>
      <c r="AY83" s="22" t="str">
        <f>IFERROR(VLOOKUP((CONCATENATE(AM83,AX83)),Listados!$U$3:$V$11,2,FALSE),"")</f>
        <v/>
      </c>
      <c r="AZ83" s="111">
        <f t="shared" si="23"/>
        <v>100</v>
      </c>
      <c r="BA83" s="717"/>
      <c r="BB83" s="761"/>
      <c r="BC83" s="142">
        <f>+IF(AND(W83="Preventivo",BB79="Fuerte"),2,IF(AND(W83="Preventivo",BB79="Moderado"),1,0))</f>
        <v>0</v>
      </c>
      <c r="BD83" s="68">
        <f>+IF(AND(W83="Detectivo/Correctivo",$BB79="Fuerte"),2,IF(AND(W83="Detectivo/Correctivo",$BB83="Moderado"),1,IF(AND(W83="Preventivo",$BB79="Fuerte"),1,0)))</f>
        <v>0</v>
      </c>
      <c r="BE83" s="142" t="e">
        <f>+N79-BC83</f>
        <v>#N/A</v>
      </c>
      <c r="BF83" s="142" t="e">
        <f>+P79-BD83</f>
        <v>#N/A</v>
      </c>
      <c r="BG83" s="713"/>
      <c r="BH83" s="713"/>
      <c r="BI83" s="713"/>
      <c r="BJ83" s="803"/>
      <c r="BK83" s="803"/>
      <c r="BL83" s="803"/>
      <c r="BM83" s="803"/>
    </row>
    <row r="84" spans="1:65" ht="65.150000000000006" customHeight="1" thickBot="1">
      <c r="A84" s="725"/>
      <c r="B84" s="812"/>
      <c r="C84" s="731"/>
      <c r="D84" s="113"/>
      <c r="E84" s="113"/>
      <c r="F84" s="815"/>
      <c r="G84" s="781"/>
      <c r="H84" s="105"/>
      <c r="I84" s="161"/>
      <c r="J84" s="105"/>
      <c r="K84" s="30"/>
      <c r="L84" s="150"/>
      <c r="M84" s="727"/>
      <c r="N84" s="721"/>
      <c r="O84" s="810"/>
      <c r="P84" s="721"/>
      <c r="Q84" s="715"/>
      <c r="R84" s="714"/>
      <c r="S84" s="140"/>
      <c r="T84" s="102"/>
      <c r="U84" s="52" t="s">
        <v>467</v>
      </c>
      <c r="V84" s="145"/>
      <c r="W84" s="145"/>
      <c r="X84" s="145"/>
      <c r="Y84" s="99" t="str">
        <f t="shared" si="13"/>
        <v/>
      </c>
      <c r="Z84" s="145"/>
      <c r="AA84" s="99" t="str">
        <f t="shared" si="14"/>
        <v/>
      </c>
      <c r="AB84" s="140"/>
      <c r="AC84" s="99" t="str">
        <f t="shared" si="15"/>
        <v/>
      </c>
      <c r="AD84" s="140"/>
      <c r="AE84" s="99" t="str">
        <f t="shared" si="16"/>
        <v/>
      </c>
      <c r="AF84" s="140"/>
      <c r="AG84" s="99" t="str">
        <f t="shared" si="17"/>
        <v/>
      </c>
      <c r="AH84" s="140"/>
      <c r="AI84" s="99" t="str">
        <f t="shared" si="18"/>
        <v/>
      </c>
      <c r="AJ84" s="140"/>
      <c r="AK84" s="28" t="str">
        <f t="shared" si="19"/>
        <v/>
      </c>
      <c r="AL84" s="111" t="str">
        <f t="shared" si="20"/>
        <v/>
      </c>
      <c r="AM84" s="111" t="str">
        <f t="shared" si="21"/>
        <v/>
      </c>
      <c r="AN84" s="178"/>
      <c r="AO84" s="178"/>
      <c r="AP84" s="178"/>
      <c r="AQ84" s="178"/>
      <c r="AR84" s="178"/>
      <c r="AS84" s="178"/>
      <c r="AT84" s="178"/>
      <c r="AU84" s="179" t="str">
        <f>IFERROR(VLOOKUP(AT84,'Seguridad Información'!$I$61:$J$65,2,0),"")</f>
        <v/>
      </c>
      <c r="AV84" s="83"/>
      <c r="AW84" s="82" t="str">
        <f t="shared" si="12"/>
        <v/>
      </c>
      <c r="AX84" s="81" t="str">
        <f t="shared" si="22"/>
        <v/>
      </c>
      <c r="AY84" s="22" t="str">
        <f>IFERROR(VLOOKUP((CONCATENATE(AM84,AX84)),Listados!$U$3:$V$11,2,FALSE),"")</f>
        <v/>
      </c>
      <c r="AZ84" s="111">
        <f t="shared" si="23"/>
        <v>100</v>
      </c>
      <c r="BA84" s="718"/>
      <c r="BB84" s="761"/>
      <c r="BC84" s="142">
        <f>+IF(AND(W84="Preventivo",BB79="Fuerte"),2,IF(AND(W84="Preventivo",BB79="Moderado"),1,0))</f>
        <v>0</v>
      </c>
      <c r="BD84" s="68">
        <f>+IF(AND(W84="Detectivo/Correctivo",$BB79="Fuerte"),2,IF(AND(W84="Detectivo/Correctivo",$BB84="Moderado"),1,IF(AND(W84="Preventivo",$BB79="Fuerte"),1,0)))</f>
        <v>0</v>
      </c>
      <c r="BE84" s="142" t="e">
        <f>+N79-BC84</f>
        <v>#N/A</v>
      </c>
      <c r="BF84" s="142" t="e">
        <f>+P79-BD84</f>
        <v>#N/A</v>
      </c>
      <c r="BG84" s="714"/>
      <c r="BH84" s="714"/>
      <c r="BI84" s="714"/>
      <c r="BJ84" s="804"/>
      <c r="BK84" s="804"/>
      <c r="BL84" s="804"/>
      <c r="BM84" s="804"/>
    </row>
    <row r="85" spans="1:65" ht="65.150000000000006" customHeight="1" thickBot="1">
      <c r="A85" s="723">
        <v>14</v>
      </c>
      <c r="B85" s="811"/>
      <c r="C85" s="729" t="str">
        <f>IFERROR(VLOOKUP(B85,Listados!B$3:C$20,2,FALSE),"")</f>
        <v/>
      </c>
      <c r="D85" s="114"/>
      <c r="E85" s="114"/>
      <c r="F85" s="813"/>
      <c r="G85" s="735"/>
      <c r="H85" s="105"/>
      <c r="I85" s="161"/>
      <c r="J85" s="105"/>
      <c r="K85" s="109"/>
      <c r="L85" s="18"/>
      <c r="M85" s="762"/>
      <c r="N85" s="719" t="e">
        <f>+VLOOKUP(M85,Listados!$K$8:$L$12,2,0)</f>
        <v>#N/A</v>
      </c>
      <c r="O85" s="809"/>
      <c r="P85" s="719" t="e">
        <f>+VLOOKUP(O85,Listados!$K$13:$L$17,2,0)</f>
        <v>#N/A</v>
      </c>
      <c r="Q85" s="714" t="str">
        <f>IF(AND(M85&lt;&gt;"",O85&lt;&gt;""),VLOOKUP(M85&amp;O85,Listados!$M$3:$N$27,2,FALSE),"")</f>
        <v/>
      </c>
      <c r="R85" s="712" t="e">
        <f>+VLOOKUP(Q85,Listados!$P$3:$Q$6,2,FALSE)</f>
        <v>#N/A</v>
      </c>
      <c r="S85" s="140"/>
      <c r="T85" s="98"/>
      <c r="U85" s="52" t="s">
        <v>467</v>
      </c>
      <c r="V85" s="145"/>
      <c r="W85" s="145"/>
      <c r="X85" s="145"/>
      <c r="Y85" s="99" t="str">
        <f t="shared" si="13"/>
        <v/>
      </c>
      <c r="Z85" s="145"/>
      <c r="AA85" s="99" t="str">
        <f t="shared" si="14"/>
        <v/>
      </c>
      <c r="AB85" s="140"/>
      <c r="AC85" s="99" t="str">
        <f t="shared" si="15"/>
        <v/>
      </c>
      <c r="AD85" s="140"/>
      <c r="AE85" s="99" t="str">
        <f t="shared" si="16"/>
        <v/>
      </c>
      <c r="AF85" s="140"/>
      <c r="AG85" s="99" t="str">
        <f t="shared" si="17"/>
        <v/>
      </c>
      <c r="AH85" s="140"/>
      <c r="AI85" s="99" t="str">
        <f t="shared" si="18"/>
        <v/>
      </c>
      <c r="AJ85" s="140"/>
      <c r="AK85" s="28" t="str">
        <f t="shared" si="19"/>
        <v/>
      </c>
      <c r="AL85" s="111" t="str">
        <f t="shared" si="20"/>
        <v/>
      </c>
      <c r="AM85" s="111" t="str">
        <f t="shared" si="21"/>
        <v/>
      </c>
      <c r="AN85" s="178"/>
      <c r="AO85" s="178"/>
      <c r="AP85" s="178"/>
      <c r="AQ85" s="178"/>
      <c r="AR85" s="178"/>
      <c r="AS85" s="178"/>
      <c r="AT85" s="178"/>
      <c r="AU85" s="179" t="str">
        <f>IFERROR(VLOOKUP(AT85,'Seguridad Información'!$I$61:$J$65,2,0),"")</f>
        <v/>
      </c>
      <c r="AV85" s="83"/>
      <c r="AW85" s="82" t="str">
        <f t="shared" si="12"/>
        <v/>
      </c>
      <c r="AX85" s="81" t="str">
        <f t="shared" si="22"/>
        <v/>
      </c>
      <c r="AY85" s="22" t="str">
        <f>IFERROR(VLOOKUP((CONCATENATE(AM85,AX85)),Listados!$U$3:$V$11,2,FALSE),"")</f>
        <v/>
      </c>
      <c r="AZ85" s="111">
        <f t="shared" si="23"/>
        <v>100</v>
      </c>
      <c r="BA85" s="716">
        <f>AVERAGE(AZ85:AZ90)</f>
        <v>100</v>
      </c>
      <c r="BB85" s="718" t="str">
        <f>IF(BA85&lt;=50, "Débil", IF(BA85&lt;=99,"Moderado","Fuerte"))</f>
        <v>Fuerte</v>
      </c>
      <c r="BC85" s="142">
        <f>+IF(AND(W85="Preventivo",BB85="Fuerte"),2,IF(AND(W85="Preventivo",BB85="Moderado"),1,0))</f>
        <v>0</v>
      </c>
      <c r="BD85" s="68">
        <f>+IF(AND(W85="Detectivo/Correctivo",$BB85="Fuerte"),2,IF(AND(W85="Detectivo/Correctivo",$BB85="Moderado"),1,IF(AND(W85="Preventivo",$BB85="Fuerte"),1,0)))</f>
        <v>0</v>
      </c>
      <c r="BE85" s="142" t="e">
        <f>+N85-BC85</f>
        <v>#N/A</v>
      </c>
      <c r="BF85" s="142" t="e">
        <f>+P85-BD85</f>
        <v>#N/A</v>
      </c>
      <c r="BG85" s="712" t="e">
        <f>+VLOOKUP(MIN(BE85,BE86,BE87,BE88,BE89,BE90),Listados!$J$18:$K$24,2,TRUE)</f>
        <v>#N/A</v>
      </c>
      <c r="BH85" s="712" t="e">
        <f>+VLOOKUP(MIN(BF85,BF86,BF87,BF88,BF89,BF90),Listados!$J$27:$K$32,2,TRUE)</f>
        <v>#N/A</v>
      </c>
      <c r="BI85" s="712" t="e">
        <f>IF(AND(BG85&lt;&gt;"",BH85&lt;&gt;""),VLOOKUP(BG85&amp;BH85,Listados!$M$3:$N$27,2,FALSE),"")</f>
        <v>#N/A</v>
      </c>
      <c r="BJ85" s="802" t="e">
        <f>+IF($R85="Asumir el riesgo","NA","")</f>
        <v>#N/A</v>
      </c>
      <c r="BK85" s="802" t="e">
        <f>+IF($R85="Asumir el riesgo","NA","")</f>
        <v>#N/A</v>
      </c>
      <c r="BL85" s="802" t="e">
        <f>+IF($R85="Asumir el riesgo","NA","")</f>
        <v>#N/A</v>
      </c>
      <c r="BM85" s="802" t="e">
        <f>+IF($R85="Asumir el riesgo","NA","")</f>
        <v>#N/A</v>
      </c>
    </row>
    <row r="86" spans="1:65" ht="65.150000000000006" customHeight="1" thickBot="1">
      <c r="A86" s="724"/>
      <c r="B86" s="812"/>
      <c r="C86" s="730"/>
      <c r="D86" s="158"/>
      <c r="E86" s="158"/>
      <c r="F86" s="814"/>
      <c r="G86" s="736"/>
      <c r="H86" s="105"/>
      <c r="I86" s="161"/>
      <c r="J86" s="105"/>
      <c r="K86" s="160"/>
      <c r="L86" s="150"/>
      <c r="M86" s="727"/>
      <c r="N86" s="720"/>
      <c r="O86" s="810"/>
      <c r="P86" s="720"/>
      <c r="Q86" s="715"/>
      <c r="R86" s="713"/>
      <c r="S86" s="140"/>
      <c r="T86" s="180"/>
      <c r="U86" s="52" t="s">
        <v>467</v>
      </c>
      <c r="V86" s="145"/>
      <c r="W86" s="145"/>
      <c r="X86" s="145"/>
      <c r="Y86" s="99" t="str">
        <f t="shared" si="13"/>
        <v/>
      </c>
      <c r="Z86" s="145"/>
      <c r="AA86" s="99" t="str">
        <f t="shared" si="14"/>
        <v/>
      </c>
      <c r="AB86" s="140"/>
      <c r="AC86" s="99" t="str">
        <f t="shared" si="15"/>
        <v/>
      </c>
      <c r="AD86" s="140"/>
      <c r="AE86" s="99" t="str">
        <f t="shared" si="16"/>
        <v/>
      </c>
      <c r="AF86" s="140"/>
      <c r="AG86" s="99" t="str">
        <f t="shared" si="17"/>
        <v/>
      </c>
      <c r="AH86" s="140"/>
      <c r="AI86" s="99" t="str">
        <f t="shared" si="18"/>
        <v/>
      </c>
      <c r="AJ86" s="140"/>
      <c r="AK86" s="28" t="str">
        <f t="shared" si="19"/>
        <v/>
      </c>
      <c r="AL86" s="111" t="str">
        <f t="shared" si="20"/>
        <v/>
      </c>
      <c r="AM86" s="111" t="str">
        <f t="shared" si="21"/>
        <v/>
      </c>
      <c r="AN86" s="178"/>
      <c r="AO86" s="178"/>
      <c r="AP86" s="178"/>
      <c r="AQ86" s="178"/>
      <c r="AR86" s="178"/>
      <c r="AS86" s="178"/>
      <c r="AT86" s="178"/>
      <c r="AU86" s="179" t="str">
        <f>IFERROR(VLOOKUP(AT86,'Seguridad Información'!$I$61:$J$65,2,0),"")</f>
        <v/>
      </c>
      <c r="AV86" s="83"/>
      <c r="AW86" s="82" t="str">
        <f t="shared" si="12"/>
        <v/>
      </c>
      <c r="AX86" s="81" t="str">
        <f t="shared" si="22"/>
        <v/>
      </c>
      <c r="AY86" s="22" t="str">
        <f>IFERROR(VLOOKUP((CONCATENATE(AM86,AX86)),Listados!$U$3:$V$11,2,FALSE),"")</f>
        <v/>
      </c>
      <c r="AZ86" s="111">
        <f t="shared" si="23"/>
        <v>100</v>
      </c>
      <c r="BA86" s="717"/>
      <c r="BB86" s="761"/>
      <c r="BC86" s="142">
        <f>+IF(AND(W86="Preventivo",BB85="Fuerte"),2,IF(AND(W86="Preventivo",BB85="Moderado"),1,0))</f>
        <v>0</v>
      </c>
      <c r="BD86" s="68">
        <f>+IF(AND(W86="Detectivo/Correctivo",$BB85="Fuerte"),2,IF(AND(W86="Detectivo/Correctivo",$BB86="Moderado"),1,IF(AND(W86="Preventivo",$BB85="Fuerte"),1,0)))</f>
        <v>0</v>
      </c>
      <c r="BE86" s="142" t="e">
        <f>+N85-BC86</f>
        <v>#N/A</v>
      </c>
      <c r="BF86" s="142" t="e">
        <f>+P85-BD86</f>
        <v>#N/A</v>
      </c>
      <c r="BG86" s="713"/>
      <c r="BH86" s="713"/>
      <c r="BI86" s="713"/>
      <c r="BJ86" s="803"/>
      <c r="BK86" s="803"/>
      <c r="BL86" s="803"/>
      <c r="BM86" s="803"/>
    </row>
    <row r="87" spans="1:65" ht="65.150000000000006" customHeight="1" thickBot="1">
      <c r="A87" s="724"/>
      <c r="B87" s="812"/>
      <c r="C87" s="730"/>
      <c r="D87" s="158"/>
      <c r="E87" s="158"/>
      <c r="F87" s="814"/>
      <c r="G87" s="736"/>
      <c r="H87" s="105"/>
      <c r="I87" s="161"/>
      <c r="J87" s="105"/>
      <c r="K87" s="160"/>
      <c r="L87" s="150"/>
      <c r="M87" s="727"/>
      <c r="N87" s="720"/>
      <c r="O87" s="810"/>
      <c r="P87" s="720"/>
      <c r="Q87" s="715"/>
      <c r="R87" s="713"/>
      <c r="S87" s="140"/>
      <c r="T87" s="100"/>
      <c r="U87" s="52" t="s">
        <v>467</v>
      </c>
      <c r="V87" s="145"/>
      <c r="W87" s="145"/>
      <c r="X87" s="145"/>
      <c r="Y87" s="99" t="str">
        <f t="shared" si="13"/>
        <v/>
      </c>
      <c r="Z87" s="145"/>
      <c r="AA87" s="99" t="str">
        <f t="shared" si="14"/>
        <v/>
      </c>
      <c r="AB87" s="140"/>
      <c r="AC87" s="99" t="str">
        <f t="shared" si="15"/>
        <v/>
      </c>
      <c r="AD87" s="140"/>
      <c r="AE87" s="99" t="str">
        <f t="shared" si="16"/>
        <v/>
      </c>
      <c r="AF87" s="140"/>
      <c r="AG87" s="99" t="str">
        <f t="shared" si="17"/>
        <v/>
      </c>
      <c r="AH87" s="140"/>
      <c r="AI87" s="99" t="str">
        <f t="shared" si="18"/>
        <v/>
      </c>
      <c r="AJ87" s="140"/>
      <c r="AK87" s="28" t="str">
        <f t="shared" si="19"/>
        <v/>
      </c>
      <c r="AL87" s="111" t="str">
        <f t="shared" si="20"/>
        <v/>
      </c>
      <c r="AM87" s="111" t="str">
        <f t="shared" si="21"/>
        <v/>
      </c>
      <c r="AN87" s="178"/>
      <c r="AO87" s="178"/>
      <c r="AP87" s="178"/>
      <c r="AQ87" s="178"/>
      <c r="AR87" s="178"/>
      <c r="AS87" s="178"/>
      <c r="AT87" s="178"/>
      <c r="AU87" s="179" t="str">
        <f>IFERROR(VLOOKUP(AT87,'Seguridad Información'!$I$61:$J$65,2,0),"")</f>
        <v/>
      </c>
      <c r="AV87" s="83"/>
      <c r="AW87" s="82" t="str">
        <f t="shared" si="12"/>
        <v/>
      </c>
      <c r="AX87" s="81" t="str">
        <f t="shared" si="22"/>
        <v/>
      </c>
      <c r="AY87" s="22" t="str">
        <f>IFERROR(VLOOKUP((CONCATENATE(AM87,AX87)),Listados!$U$3:$V$11,2,FALSE),"")</f>
        <v/>
      </c>
      <c r="AZ87" s="111">
        <f t="shared" si="23"/>
        <v>100</v>
      </c>
      <c r="BA87" s="717"/>
      <c r="BB87" s="761"/>
      <c r="BC87" s="142">
        <f>+IF(AND(W87="Preventivo",BB85="Fuerte"),2,IF(AND(W87="Preventivo",BB85="Moderado"),1,0))</f>
        <v>0</v>
      </c>
      <c r="BD87" s="68">
        <f>+IF(AND(W87="Detectivo/Correctivo",$BB85="Fuerte"),2,IF(AND(W87="Detectivo/Correctivo",$BB87="Moderado"),1,IF(AND(W87="Preventivo",$BB85="Fuerte"),1,0)))</f>
        <v>0</v>
      </c>
      <c r="BE87" s="142" t="e">
        <f>+N85-BC87</f>
        <v>#N/A</v>
      </c>
      <c r="BF87" s="142" t="e">
        <f>+P85-BD87</f>
        <v>#N/A</v>
      </c>
      <c r="BG87" s="713"/>
      <c r="BH87" s="713"/>
      <c r="BI87" s="713"/>
      <c r="BJ87" s="803"/>
      <c r="BK87" s="803"/>
      <c r="BL87" s="803"/>
      <c r="BM87" s="803"/>
    </row>
    <row r="88" spans="1:65" ht="65.150000000000006" customHeight="1" thickBot="1">
      <c r="A88" s="724"/>
      <c r="B88" s="812"/>
      <c r="C88" s="730"/>
      <c r="D88" s="158"/>
      <c r="E88" s="158"/>
      <c r="F88" s="814"/>
      <c r="G88" s="736"/>
      <c r="H88" s="105"/>
      <c r="I88" s="161"/>
      <c r="J88" s="105"/>
      <c r="K88" s="160"/>
      <c r="L88" s="150"/>
      <c r="M88" s="727"/>
      <c r="N88" s="720"/>
      <c r="O88" s="810"/>
      <c r="P88" s="720"/>
      <c r="Q88" s="715"/>
      <c r="R88" s="713"/>
      <c r="S88" s="140"/>
      <c r="T88" s="101"/>
      <c r="U88" s="52" t="s">
        <v>467</v>
      </c>
      <c r="V88" s="145"/>
      <c r="W88" s="145"/>
      <c r="X88" s="145"/>
      <c r="Y88" s="99" t="str">
        <f t="shared" si="13"/>
        <v/>
      </c>
      <c r="Z88" s="145"/>
      <c r="AA88" s="99" t="str">
        <f t="shared" si="14"/>
        <v/>
      </c>
      <c r="AB88" s="140"/>
      <c r="AC88" s="99" t="str">
        <f t="shared" si="15"/>
        <v/>
      </c>
      <c r="AD88" s="140"/>
      <c r="AE88" s="99" t="str">
        <f t="shared" si="16"/>
        <v/>
      </c>
      <c r="AF88" s="140"/>
      <c r="AG88" s="99" t="str">
        <f t="shared" si="17"/>
        <v/>
      </c>
      <c r="AH88" s="140"/>
      <c r="AI88" s="99" t="str">
        <f t="shared" si="18"/>
        <v/>
      </c>
      <c r="AJ88" s="140"/>
      <c r="AK88" s="28" t="str">
        <f t="shared" si="19"/>
        <v/>
      </c>
      <c r="AL88" s="111" t="str">
        <f t="shared" si="20"/>
        <v/>
      </c>
      <c r="AM88" s="111" t="str">
        <f t="shared" si="21"/>
        <v/>
      </c>
      <c r="AN88" s="178"/>
      <c r="AO88" s="178"/>
      <c r="AP88" s="178"/>
      <c r="AQ88" s="178"/>
      <c r="AR88" s="178"/>
      <c r="AS88" s="178"/>
      <c r="AT88" s="178"/>
      <c r="AU88" s="179" t="str">
        <f>IFERROR(VLOOKUP(AT88,'Seguridad Información'!$I$61:$J$65,2,0),"")</f>
        <v/>
      </c>
      <c r="AV88" s="83"/>
      <c r="AW88" s="82" t="str">
        <f t="shared" si="12"/>
        <v/>
      </c>
      <c r="AX88" s="81" t="str">
        <f t="shared" si="22"/>
        <v/>
      </c>
      <c r="AY88" s="22" t="str">
        <f>IFERROR(VLOOKUP((CONCATENATE(AM88,AX88)),Listados!$U$3:$V$11,2,FALSE),"")</f>
        <v/>
      </c>
      <c r="AZ88" s="111">
        <f t="shared" si="23"/>
        <v>100</v>
      </c>
      <c r="BA88" s="717"/>
      <c r="BB88" s="761"/>
      <c r="BC88" s="142">
        <f>+IF(AND(W88="Preventivo",BB85="Fuerte"),2,IF(AND(W88="Preventivo",BB85="Moderado"),1,0))</f>
        <v>0</v>
      </c>
      <c r="BD88" s="68">
        <f>+IF(AND(W88="Detectivo/Correctivo",$BB85="Fuerte"),2,IF(AND(W88="Detectivo/Correctivo",$BB88="Moderado"),1,IF(AND(W88="Preventivo",$BB85="Fuerte"),1,0)))</f>
        <v>0</v>
      </c>
      <c r="BE88" s="142" t="e">
        <f>+N85-BC88</f>
        <v>#N/A</v>
      </c>
      <c r="BF88" s="142" t="e">
        <f>+P85-BD88</f>
        <v>#N/A</v>
      </c>
      <c r="BG88" s="713"/>
      <c r="BH88" s="713"/>
      <c r="BI88" s="713"/>
      <c r="BJ88" s="803"/>
      <c r="BK88" s="803"/>
      <c r="BL88" s="803"/>
      <c r="BM88" s="803"/>
    </row>
    <row r="89" spans="1:65" ht="65.150000000000006" customHeight="1" thickBot="1">
      <c r="A89" s="724"/>
      <c r="B89" s="812"/>
      <c r="C89" s="730"/>
      <c r="D89" s="116"/>
      <c r="E89" s="116"/>
      <c r="F89" s="814"/>
      <c r="G89" s="736"/>
      <c r="H89" s="105"/>
      <c r="I89" s="161"/>
      <c r="J89" s="105"/>
      <c r="K89" s="29"/>
      <c r="L89" s="150"/>
      <c r="M89" s="727"/>
      <c r="N89" s="720"/>
      <c r="O89" s="810"/>
      <c r="P89" s="720"/>
      <c r="Q89" s="715"/>
      <c r="R89" s="713"/>
      <c r="S89" s="140"/>
      <c r="T89" s="180"/>
      <c r="U89" s="52" t="s">
        <v>467</v>
      </c>
      <c r="V89" s="145"/>
      <c r="W89" s="145"/>
      <c r="X89" s="145"/>
      <c r="Y89" s="99" t="str">
        <f t="shared" si="13"/>
        <v/>
      </c>
      <c r="Z89" s="145"/>
      <c r="AA89" s="99" t="str">
        <f t="shared" si="14"/>
        <v/>
      </c>
      <c r="AB89" s="140"/>
      <c r="AC89" s="99" t="str">
        <f t="shared" si="15"/>
        <v/>
      </c>
      <c r="AD89" s="140"/>
      <c r="AE89" s="99" t="str">
        <f t="shared" si="16"/>
        <v/>
      </c>
      <c r="AF89" s="140"/>
      <c r="AG89" s="99" t="str">
        <f t="shared" si="17"/>
        <v/>
      </c>
      <c r="AH89" s="140"/>
      <c r="AI89" s="99" t="str">
        <f t="shared" si="18"/>
        <v/>
      </c>
      <c r="AJ89" s="140"/>
      <c r="AK89" s="28" t="str">
        <f t="shared" si="19"/>
        <v/>
      </c>
      <c r="AL89" s="111" t="str">
        <f t="shared" si="20"/>
        <v/>
      </c>
      <c r="AM89" s="111" t="str">
        <f t="shared" si="21"/>
        <v/>
      </c>
      <c r="AN89" s="178"/>
      <c r="AO89" s="178"/>
      <c r="AP89" s="178"/>
      <c r="AQ89" s="178"/>
      <c r="AR89" s="178"/>
      <c r="AS89" s="178"/>
      <c r="AT89" s="178"/>
      <c r="AU89" s="179" t="str">
        <f>IFERROR(VLOOKUP(AT89,'Seguridad Información'!$I$61:$J$65,2,0),"")</f>
        <v/>
      </c>
      <c r="AV89" s="83"/>
      <c r="AW89" s="82" t="str">
        <f t="shared" si="12"/>
        <v/>
      </c>
      <c r="AX89" s="81" t="str">
        <f t="shared" si="22"/>
        <v/>
      </c>
      <c r="AY89" s="22" t="str">
        <f>IFERROR(VLOOKUP((CONCATENATE(AM89,AX89)),Listados!$U$3:$V$11,2,FALSE),"")</f>
        <v/>
      </c>
      <c r="AZ89" s="111">
        <f t="shared" si="23"/>
        <v>100</v>
      </c>
      <c r="BA89" s="717"/>
      <c r="BB89" s="761"/>
      <c r="BC89" s="142">
        <f>+IF(AND(W89="Preventivo",BB85="Fuerte"),2,IF(AND(W89="Preventivo",BB85="Moderado"),1,0))</f>
        <v>0</v>
      </c>
      <c r="BD89" s="68">
        <f>+IF(AND(W89="Detectivo/Correctivo",$BB85="Fuerte"),2,IF(AND(W89="Detectivo/Correctivo",$BB89="Moderado"),1,IF(AND(W89="Preventivo",$BB85="Fuerte"),1,0)))</f>
        <v>0</v>
      </c>
      <c r="BE89" s="142" t="e">
        <f>+N85-BC89</f>
        <v>#N/A</v>
      </c>
      <c r="BF89" s="142" t="e">
        <f>+P85-BD89</f>
        <v>#N/A</v>
      </c>
      <c r="BG89" s="713"/>
      <c r="BH89" s="713"/>
      <c r="BI89" s="713"/>
      <c r="BJ89" s="803"/>
      <c r="BK89" s="803"/>
      <c r="BL89" s="803"/>
      <c r="BM89" s="803"/>
    </row>
    <row r="90" spans="1:65" ht="65.150000000000006" customHeight="1" thickBot="1">
      <c r="A90" s="725"/>
      <c r="B90" s="812"/>
      <c r="C90" s="731"/>
      <c r="D90" s="113"/>
      <c r="E90" s="113"/>
      <c r="F90" s="815"/>
      <c r="G90" s="781"/>
      <c r="H90" s="105"/>
      <c r="I90" s="161"/>
      <c r="J90" s="105"/>
      <c r="K90" s="30"/>
      <c r="L90" s="150"/>
      <c r="M90" s="727"/>
      <c r="N90" s="721"/>
      <c r="O90" s="810"/>
      <c r="P90" s="721"/>
      <c r="Q90" s="715"/>
      <c r="R90" s="714"/>
      <c r="S90" s="140"/>
      <c r="T90" s="102"/>
      <c r="U90" s="52" t="s">
        <v>467</v>
      </c>
      <c r="V90" s="145"/>
      <c r="W90" s="145"/>
      <c r="X90" s="145"/>
      <c r="Y90" s="99" t="str">
        <f t="shared" si="13"/>
        <v/>
      </c>
      <c r="Z90" s="145"/>
      <c r="AA90" s="99" t="str">
        <f t="shared" si="14"/>
        <v/>
      </c>
      <c r="AB90" s="140"/>
      <c r="AC90" s="99" t="str">
        <f t="shared" si="15"/>
        <v/>
      </c>
      <c r="AD90" s="140"/>
      <c r="AE90" s="99" t="str">
        <f t="shared" si="16"/>
        <v/>
      </c>
      <c r="AF90" s="140"/>
      <c r="AG90" s="99" t="str">
        <f t="shared" si="17"/>
        <v/>
      </c>
      <c r="AH90" s="140"/>
      <c r="AI90" s="99" t="str">
        <f t="shared" si="18"/>
        <v/>
      </c>
      <c r="AJ90" s="140"/>
      <c r="AK90" s="28" t="str">
        <f t="shared" si="19"/>
        <v/>
      </c>
      <c r="AL90" s="111" t="str">
        <f t="shared" si="20"/>
        <v/>
      </c>
      <c r="AM90" s="111" t="str">
        <f t="shared" si="21"/>
        <v/>
      </c>
      <c r="AN90" s="178"/>
      <c r="AO90" s="178"/>
      <c r="AP90" s="178"/>
      <c r="AQ90" s="178"/>
      <c r="AR90" s="178"/>
      <c r="AS90" s="178"/>
      <c r="AT90" s="178"/>
      <c r="AU90" s="179" t="str">
        <f>IFERROR(VLOOKUP(AT90,'Seguridad Información'!$I$61:$J$65,2,0),"")</f>
        <v/>
      </c>
      <c r="AV90" s="83"/>
      <c r="AW90" s="82" t="str">
        <f t="shared" si="12"/>
        <v/>
      </c>
      <c r="AX90" s="81" t="str">
        <f t="shared" si="22"/>
        <v/>
      </c>
      <c r="AY90" s="22" t="str">
        <f>IFERROR(VLOOKUP((CONCATENATE(AM90,AX90)),Listados!$U$3:$V$11,2,FALSE),"")</f>
        <v/>
      </c>
      <c r="AZ90" s="111">
        <f t="shared" si="23"/>
        <v>100</v>
      </c>
      <c r="BA90" s="718"/>
      <c r="BB90" s="761"/>
      <c r="BC90" s="142">
        <f>+IF(AND(W90="Preventivo",BB85="Fuerte"),2,IF(AND(W90="Preventivo",BB85="Moderado"),1,0))</f>
        <v>0</v>
      </c>
      <c r="BD90" s="68">
        <f>+IF(AND(W90="Detectivo/Correctivo",$BB85="Fuerte"),2,IF(AND(W90="Detectivo/Correctivo",$BB90="Moderado"),1,IF(AND(W90="Preventivo",$BB85="Fuerte"),1,0)))</f>
        <v>0</v>
      </c>
      <c r="BE90" s="142" t="e">
        <f>+N85-BC90</f>
        <v>#N/A</v>
      </c>
      <c r="BF90" s="142" t="e">
        <f>+P85-BD90</f>
        <v>#N/A</v>
      </c>
      <c r="BG90" s="714"/>
      <c r="BH90" s="714"/>
      <c r="BI90" s="714"/>
      <c r="BJ90" s="804"/>
      <c r="BK90" s="804"/>
      <c r="BL90" s="804"/>
      <c r="BM90" s="804"/>
    </row>
    <row r="91" spans="1:65" ht="65.150000000000006" customHeight="1" thickBot="1">
      <c r="A91" s="723">
        <v>15</v>
      </c>
      <c r="B91" s="811"/>
      <c r="C91" s="729" t="str">
        <f>IFERROR(VLOOKUP(B91,Listados!B$3:C$20,2,FALSE),"")</f>
        <v/>
      </c>
      <c r="D91" s="114"/>
      <c r="E91" s="114"/>
      <c r="F91" s="813"/>
      <c r="G91" s="735"/>
      <c r="H91" s="105"/>
      <c r="I91" s="161"/>
      <c r="J91" s="105"/>
      <c r="K91" s="109"/>
      <c r="L91" s="18"/>
      <c r="M91" s="762"/>
      <c r="N91" s="719" t="e">
        <f>+VLOOKUP(M91,Listados!$K$8:$L$12,2,0)</f>
        <v>#N/A</v>
      </c>
      <c r="O91" s="809"/>
      <c r="P91" s="719" t="e">
        <f>+VLOOKUP(O91,Listados!$K$13:$L$17,2,0)</f>
        <v>#N/A</v>
      </c>
      <c r="Q91" s="714" t="str">
        <f>IF(AND(M91&lt;&gt;"",O91&lt;&gt;""),VLOOKUP(M91&amp;O91,Listados!$M$3:$N$27,2,FALSE),"")</f>
        <v/>
      </c>
      <c r="R91" s="712" t="e">
        <f>+VLOOKUP(Q91,Listados!$P$3:$Q$6,2,FALSE)</f>
        <v>#N/A</v>
      </c>
      <c r="S91" s="140"/>
      <c r="T91" s="98"/>
      <c r="U91" s="52" t="s">
        <v>467</v>
      </c>
      <c r="V91" s="145"/>
      <c r="W91" s="145"/>
      <c r="X91" s="145"/>
      <c r="Y91" s="99" t="str">
        <f t="shared" si="13"/>
        <v/>
      </c>
      <c r="Z91" s="145"/>
      <c r="AA91" s="99" t="str">
        <f t="shared" si="14"/>
        <v/>
      </c>
      <c r="AB91" s="140"/>
      <c r="AC91" s="99" t="str">
        <f t="shared" si="15"/>
        <v/>
      </c>
      <c r="AD91" s="140"/>
      <c r="AE91" s="99" t="str">
        <f t="shared" si="16"/>
        <v/>
      </c>
      <c r="AF91" s="140"/>
      <c r="AG91" s="99" t="str">
        <f t="shared" si="17"/>
        <v/>
      </c>
      <c r="AH91" s="140"/>
      <c r="AI91" s="99" t="str">
        <f t="shared" si="18"/>
        <v/>
      </c>
      <c r="AJ91" s="140"/>
      <c r="AK91" s="28" t="str">
        <f t="shared" si="19"/>
        <v/>
      </c>
      <c r="AL91" s="111" t="str">
        <f t="shared" si="20"/>
        <v/>
      </c>
      <c r="AM91" s="111" t="str">
        <f t="shared" si="21"/>
        <v/>
      </c>
      <c r="AN91" s="178"/>
      <c r="AO91" s="178"/>
      <c r="AP91" s="178"/>
      <c r="AQ91" s="178"/>
      <c r="AR91" s="178"/>
      <c r="AS91" s="178"/>
      <c r="AT91" s="178"/>
      <c r="AU91" s="179" t="str">
        <f>IFERROR(VLOOKUP(AT91,'Seguridad Información'!$I$61:$J$65,2,0),"")</f>
        <v/>
      </c>
      <c r="AV91" s="83"/>
      <c r="AW91" s="82" t="str">
        <f t="shared" si="12"/>
        <v/>
      </c>
      <c r="AX91" s="81" t="str">
        <f t="shared" si="22"/>
        <v/>
      </c>
      <c r="AY91" s="22" t="str">
        <f>IFERROR(VLOOKUP((CONCATENATE(AM91,AX91)),Listados!$U$3:$V$11,2,FALSE),"")</f>
        <v/>
      </c>
      <c r="AZ91" s="111">
        <f t="shared" si="23"/>
        <v>100</v>
      </c>
      <c r="BA91" s="716">
        <f>AVERAGE(AZ91:AZ96)</f>
        <v>100</v>
      </c>
      <c r="BB91" s="718" t="str">
        <f>IF(BA91&lt;=50, "Débil", IF(BA91&lt;=99,"Moderado","Fuerte"))</f>
        <v>Fuerte</v>
      </c>
      <c r="BC91" s="142">
        <f>+IF(AND(W91="Preventivo",BB91="Fuerte"),2,IF(AND(W91="Preventivo",BB91="Moderado"),1,0))</f>
        <v>0</v>
      </c>
      <c r="BD91" s="68">
        <f>+IF(AND(W91="Detectivo/Correctivo",$BB91="Fuerte"),2,IF(AND(W91="Detectivo/Correctivo",$BB91="Moderado"),1,IF(AND(W91="Preventivo",$BB91="Fuerte"),1,0)))</f>
        <v>0</v>
      </c>
      <c r="BE91" s="142" t="e">
        <f>+N91-BC91</f>
        <v>#N/A</v>
      </c>
      <c r="BF91" s="142" t="e">
        <f>+P91-BD91</f>
        <v>#N/A</v>
      </c>
      <c r="BG91" s="712" t="e">
        <f>+VLOOKUP(MIN(BE91,BE92,BE93,BE94,BE95,BE96),Listados!$J$18:$K$24,2,TRUE)</f>
        <v>#N/A</v>
      </c>
      <c r="BH91" s="712" t="e">
        <f>+VLOOKUP(MIN(BF91,BF92,BF93,BF94,BF95,BF96),Listados!$J$27:$K$32,2,TRUE)</f>
        <v>#N/A</v>
      </c>
      <c r="BI91" s="712" t="e">
        <f>IF(AND(BG91&lt;&gt;"",BH91&lt;&gt;""),VLOOKUP(BG91&amp;BH91,Listados!$M$3:$N$27,2,FALSE),"")</f>
        <v>#N/A</v>
      </c>
      <c r="BJ91" s="802" t="e">
        <f>+IF($R91="Asumir el riesgo","NA","")</f>
        <v>#N/A</v>
      </c>
      <c r="BK91" s="802" t="e">
        <f>+IF($R91="Asumir el riesgo","NA","")</f>
        <v>#N/A</v>
      </c>
      <c r="BL91" s="802" t="e">
        <f>+IF($R91="Asumir el riesgo","NA","")</f>
        <v>#N/A</v>
      </c>
      <c r="BM91" s="802" t="e">
        <f>+IF($R91="Asumir el riesgo","NA","")</f>
        <v>#N/A</v>
      </c>
    </row>
    <row r="92" spans="1:65" ht="65.150000000000006" customHeight="1" thickBot="1">
      <c r="A92" s="724"/>
      <c r="B92" s="812"/>
      <c r="C92" s="730"/>
      <c r="D92" s="158"/>
      <c r="E92" s="158"/>
      <c r="F92" s="814"/>
      <c r="G92" s="736"/>
      <c r="H92" s="105"/>
      <c r="I92" s="161"/>
      <c r="J92" s="105"/>
      <c r="K92" s="160"/>
      <c r="L92" s="150"/>
      <c r="M92" s="727"/>
      <c r="N92" s="720"/>
      <c r="O92" s="810"/>
      <c r="P92" s="720"/>
      <c r="Q92" s="715"/>
      <c r="R92" s="713"/>
      <c r="S92" s="140"/>
      <c r="T92" s="180"/>
      <c r="U92" s="52" t="s">
        <v>467</v>
      </c>
      <c r="V92" s="145"/>
      <c r="W92" s="145"/>
      <c r="X92" s="145"/>
      <c r="Y92" s="99" t="str">
        <f t="shared" si="13"/>
        <v/>
      </c>
      <c r="Z92" s="145"/>
      <c r="AA92" s="99" t="str">
        <f t="shared" si="14"/>
        <v/>
      </c>
      <c r="AB92" s="140"/>
      <c r="AC92" s="99" t="str">
        <f t="shared" si="15"/>
        <v/>
      </c>
      <c r="AD92" s="140"/>
      <c r="AE92" s="99" t="str">
        <f t="shared" si="16"/>
        <v/>
      </c>
      <c r="AF92" s="140"/>
      <c r="AG92" s="99" t="str">
        <f t="shared" si="17"/>
        <v/>
      </c>
      <c r="AH92" s="140"/>
      <c r="AI92" s="99" t="str">
        <f t="shared" si="18"/>
        <v/>
      </c>
      <c r="AJ92" s="140"/>
      <c r="AK92" s="28" t="str">
        <f t="shared" si="19"/>
        <v/>
      </c>
      <c r="AL92" s="111" t="str">
        <f t="shared" si="20"/>
        <v/>
      </c>
      <c r="AM92" s="111" t="str">
        <f t="shared" si="21"/>
        <v/>
      </c>
      <c r="AN92" s="178"/>
      <c r="AO92" s="178"/>
      <c r="AP92" s="178"/>
      <c r="AQ92" s="178"/>
      <c r="AR92" s="178"/>
      <c r="AS92" s="178"/>
      <c r="AT92" s="178"/>
      <c r="AU92" s="179" t="str">
        <f>IFERROR(VLOOKUP(AT92,'Seguridad Información'!$I$61:$J$65,2,0),"")</f>
        <v/>
      </c>
      <c r="AV92" s="83"/>
      <c r="AW92" s="82" t="str">
        <f t="shared" si="12"/>
        <v/>
      </c>
      <c r="AX92" s="81" t="str">
        <f t="shared" si="22"/>
        <v/>
      </c>
      <c r="AY92" s="22" t="str">
        <f>IFERROR(VLOOKUP((CONCATENATE(AM92,AX92)),Listados!$U$3:$V$11,2,FALSE),"")</f>
        <v/>
      </c>
      <c r="AZ92" s="111">
        <f t="shared" si="23"/>
        <v>100</v>
      </c>
      <c r="BA92" s="717"/>
      <c r="BB92" s="761"/>
      <c r="BC92" s="142">
        <f>+IF(AND(W92="Preventivo",BB91="Fuerte"),2,IF(AND(W92="Preventivo",BB91="Moderado"),1,0))</f>
        <v>0</v>
      </c>
      <c r="BD92" s="68">
        <f>+IF(AND(W92="Detectivo/Correctivo",$BB91="Fuerte"),2,IF(AND(W92="Detectivo/Correctivo",$BB92="Moderado"),1,IF(AND(W92="Preventivo",$BB91="Fuerte"),1,0)))</f>
        <v>0</v>
      </c>
      <c r="BE92" s="142" t="e">
        <f>+N91-BC92</f>
        <v>#N/A</v>
      </c>
      <c r="BF92" s="142" t="e">
        <f>+P91-BD92</f>
        <v>#N/A</v>
      </c>
      <c r="BG92" s="713"/>
      <c r="BH92" s="713"/>
      <c r="BI92" s="713"/>
      <c r="BJ92" s="803"/>
      <c r="BK92" s="803"/>
      <c r="BL92" s="803"/>
      <c r="BM92" s="803"/>
    </row>
    <row r="93" spans="1:65" ht="65.150000000000006" customHeight="1" thickBot="1">
      <c r="A93" s="724"/>
      <c r="B93" s="812"/>
      <c r="C93" s="730"/>
      <c r="D93" s="158"/>
      <c r="E93" s="158"/>
      <c r="F93" s="814"/>
      <c r="G93" s="736"/>
      <c r="H93" s="105"/>
      <c r="I93" s="161"/>
      <c r="J93" s="105"/>
      <c r="K93" s="160"/>
      <c r="L93" s="150"/>
      <c r="M93" s="727"/>
      <c r="N93" s="720"/>
      <c r="O93" s="810"/>
      <c r="P93" s="720"/>
      <c r="Q93" s="715"/>
      <c r="R93" s="713"/>
      <c r="S93" s="140"/>
      <c r="T93" s="100"/>
      <c r="U93" s="52" t="s">
        <v>467</v>
      </c>
      <c r="V93" s="145"/>
      <c r="W93" s="145"/>
      <c r="X93" s="145"/>
      <c r="Y93" s="99" t="str">
        <f t="shared" si="13"/>
        <v/>
      </c>
      <c r="Z93" s="145"/>
      <c r="AA93" s="99" t="str">
        <f t="shared" si="14"/>
        <v/>
      </c>
      <c r="AB93" s="140"/>
      <c r="AC93" s="99" t="str">
        <f t="shared" si="15"/>
        <v/>
      </c>
      <c r="AD93" s="140"/>
      <c r="AE93" s="99" t="str">
        <f t="shared" si="16"/>
        <v/>
      </c>
      <c r="AF93" s="140"/>
      <c r="AG93" s="99" t="str">
        <f t="shared" si="17"/>
        <v/>
      </c>
      <c r="AH93" s="140"/>
      <c r="AI93" s="99" t="str">
        <f t="shared" si="18"/>
        <v/>
      </c>
      <c r="AJ93" s="140"/>
      <c r="AK93" s="28" t="str">
        <f t="shared" si="19"/>
        <v/>
      </c>
      <c r="AL93" s="111" t="str">
        <f t="shared" si="20"/>
        <v/>
      </c>
      <c r="AM93" s="111" t="str">
        <f t="shared" si="21"/>
        <v/>
      </c>
      <c r="AN93" s="178"/>
      <c r="AO93" s="178"/>
      <c r="AP93" s="178"/>
      <c r="AQ93" s="178"/>
      <c r="AR93" s="178"/>
      <c r="AS93" s="178"/>
      <c r="AT93" s="178"/>
      <c r="AU93" s="179" t="str">
        <f>IFERROR(VLOOKUP(AT93,'Seguridad Información'!$I$61:$J$65,2,0),"")</f>
        <v/>
      </c>
      <c r="AV93" s="83"/>
      <c r="AW93" s="82" t="str">
        <f t="shared" si="12"/>
        <v/>
      </c>
      <c r="AX93" s="81" t="str">
        <f t="shared" si="22"/>
        <v/>
      </c>
      <c r="AY93" s="22" t="str">
        <f>IFERROR(VLOOKUP((CONCATENATE(AM93,AX93)),Listados!$U$3:$V$11,2,FALSE),"")</f>
        <v/>
      </c>
      <c r="AZ93" s="111">
        <f t="shared" si="23"/>
        <v>100</v>
      </c>
      <c r="BA93" s="717"/>
      <c r="BB93" s="761"/>
      <c r="BC93" s="142">
        <f>+IF(AND(W93="Preventivo",BB91="Fuerte"),2,IF(AND(W93="Preventivo",BB91="Moderado"),1,0))</f>
        <v>0</v>
      </c>
      <c r="BD93" s="68">
        <f>+IF(AND(W93="Detectivo/Correctivo",$BB91="Fuerte"),2,IF(AND(W93="Detectivo/Correctivo",$BB93="Moderado"),1,IF(AND(W93="Preventivo",$BB91="Fuerte"),1,0)))</f>
        <v>0</v>
      </c>
      <c r="BE93" s="142" t="e">
        <f>+N91-BC93</f>
        <v>#N/A</v>
      </c>
      <c r="BF93" s="142" t="e">
        <f>+P91-BD93</f>
        <v>#N/A</v>
      </c>
      <c r="BG93" s="713"/>
      <c r="BH93" s="713"/>
      <c r="BI93" s="713"/>
      <c r="BJ93" s="803"/>
      <c r="BK93" s="803"/>
      <c r="BL93" s="803"/>
      <c r="BM93" s="803"/>
    </row>
    <row r="94" spans="1:65" ht="65.150000000000006" customHeight="1" thickBot="1">
      <c r="A94" s="724"/>
      <c r="B94" s="812"/>
      <c r="C94" s="730"/>
      <c r="D94" s="158"/>
      <c r="E94" s="158"/>
      <c r="F94" s="814"/>
      <c r="G94" s="736"/>
      <c r="H94" s="105"/>
      <c r="I94" s="161"/>
      <c r="J94" s="105"/>
      <c r="K94" s="160"/>
      <c r="L94" s="150"/>
      <c r="M94" s="727"/>
      <c r="N94" s="720"/>
      <c r="O94" s="810"/>
      <c r="P94" s="720"/>
      <c r="Q94" s="715"/>
      <c r="R94" s="713"/>
      <c r="S94" s="140"/>
      <c r="T94" s="101"/>
      <c r="U94" s="52" t="s">
        <v>467</v>
      </c>
      <c r="V94" s="145"/>
      <c r="W94" s="145"/>
      <c r="X94" s="145"/>
      <c r="Y94" s="99" t="str">
        <f t="shared" si="13"/>
        <v/>
      </c>
      <c r="Z94" s="145"/>
      <c r="AA94" s="99" t="str">
        <f t="shared" si="14"/>
        <v/>
      </c>
      <c r="AB94" s="140"/>
      <c r="AC94" s="99" t="str">
        <f t="shared" si="15"/>
        <v/>
      </c>
      <c r="AD94" s="140"/>
      <c r="AE94" s="99" t="str">
        <f t="shared" si="16"/>
        <v/>
      </c>
      <c r="AF94" s="140"/>
      <c r="AG94" s="99" t="str">
        <f t="shared" si="17"/>
        <v/>
      </c>
      <c r="AH94" s="140"/>
      <c r="AI94" s="99" t="str">
        <f t="shared" si="18"/>
        <v/>
      </c>
      <c r="AJ94" s="140"/>
      <c r="AK94" s="28" t="str">
        <f t="shared" si="19"/>
        <v/>
      </c>
      <c r="AL94" s="111" t="str">
        <f t="shared" si="20"/>
        <v/>
      </c>
      <c r="AM94" s="111" t="str">
        <f t="shared" si="21"/>
        <v/>
      </c>
      <c r="AN94" s="178"/>
      <c r="AO94" s="178"/>
      <c r="AP94" s="178"/>
      <c r="AQ94" s="178"/>
      <c r="AR94" s="178"/>
      <c r="AS94" s="178"/>
      <c r="AT94" s="178"/>
      <c r="AU94" s="179" t="str">
        <f>IFERROR(VLOOKUP(AT94,'Seguridad Información'!$I$61:$J$65,2,0),"")</f>
        <v/>
      </c>
      <c r="AV94" s="83"/>
      <c r="AW94" s="82" t="str">
        <f t="shared" si="12"/>
        <v/>
      </c>
      <c r="AX94" s="81" t="str">
        <f t="shared" si="22"/>
        <v/>
      </c>
      <c r="AY94" s="22" t="str">
        <f>IFERROR(VLOOKUP((CONCATENATE(AM94,AX94)),Listados!$U$3:$V$11,2,FALSE),"")</f>
        <v/>
      </c>
      <c r="AZ94" s="111">
        <f t="shared" si="23"/>
        <v>100</v>
      </c>
      <c r="BA94" s="717"/>
      <c r="BB94" s="761"/>
      <c r="BC94" s="142">
        <f>+IF(AND(W94="Preventivo",BB91="Fuerte"),2,IF(AND(W94="Preventivo",BB91="Moderado"),1,0))</f>
        <v>0</v>
      </c>
      <c r="BD94" s="68">
        <f>+IF(AND(W94="Detectivo/Correctivo",$BB91="Fuerte"),2,IF(AND(W94="Detectivo/Correctivo",$BB94="Moderado"),1,IF(AND(W94="Preventivo",$BB91="Fuerte"),1,0)))</f>
        <v>0</v>
      </c>
      <c r="BE94" s="142" t="e">
        <f>+N91-BC94</f>
        <v>#N/A</v>
      </c>
      <c r="BF94" s="142" t="e">
        <f>+P91-BD94</f>
        <v>#N/A</v>
      </c>
      <c r="BG94" s="713"/>
      <c r="BH94" s="713"/>
      <c r="BI94" s="713"/>
      <c r="BJ94" s="803"/>
      <c r="BK94" s="803"/>
      <c r="BL94" s="803"/>
      <c r="BM94" s="803"/>
    </row>
    <row r="95" spans="1:65" ht="65.150000000000006" customHeight="1" thickBot="1">
      <c r="A95" s="724"/>
      <c r="B95" s="812"/>
      <c r="C95" s="730"/>
      <c r="D95" s="116"/>
      <c r="E95" s="116"/>
      <c r="F95" s="814"/>
      <c r="G95" s="736"/>
      <c r="H95" s="105"/>
      <c r="I95" s="161"/>
      <c r="J95" s="105"/>
      <c r="K95" s="29"/>
      <c r="L95" s="150"/>
      <c r="M95" s="727"/>
      <c r="N95" s="720"/>
      <c r="O95" s="810"/>
      <c r="P95" s="720"/>
      <c r="Q95" s="715"/>
      <c r="R95" s="713"/>
      <c r="S95" s="140"/>
      <c r="T95" s="180"/>
      <c r="U95" s="52" t="s">
        <v>467</v>
      </c>
      <c r="V95" s="145"/>
      <c r="W95" s="145"/>
      <c r="X95" s="145"/>
      <c r="Y95" s="99" t="str">
        <f t="shared" si="13"/>
        <v/>
      </c>
      <c r="Z95" s="145"/>
      <c r="AA95" s="99" t="str">
        <f t="shared" si="14"/>
        <v/>
      </c>
      <c r="AB95" s="140"/>
      <c r="AC95" s="99" t="str">
        <f t="shared" si="15"/>
        <v/>
      </c>
      <c r="AD95" s="140"/>
      <c r="AE95" s="99" t="str">
        <f t="shared" si="16"/>
        <v/>
      </c>
      <c r="AF95" s="140"/>
      <c r="AG95" s="99" t="str">
        <f t="shared" si="17"/>
        <v/>
      </c>
      <c r="AH95" s="140"/>
      <c r="AI95" s="99" t="str">
        <f t="shared" si="18"/>
        <v/>
      </c>
      <c r="AJ95" s="140"/>
      <c r="AK95" s="28" t="str">
        <f t="shared" si="19"/>
        <v/>
      </c>
      <c r="AL95" s="111" t="str">
        <f t="shared" si="20"/>
        <v/>
      </c>
      <c r="AM95" s="111" t="str">
        <f t="shared" si="21"/>
        <v/>
      </c>
      <c r="AN95" s="178"/>
      <c r="AO95" s="178"/>
      <c r="AP95" s="178"/>
      <c r="AQ95" s="178"/>
      <c r="AR95" s="178"/>
      <c r="AS95" s="178"/>
      <c r="AT95" s="178"/>
      <c r="AU95" s="179" t="str">
        <f>IFERROR(VLOOKUP(AT95,'Seguridad Información'!$I$61:$J$65,2,0),"")</f>
        <v/>
      </c>
      <c r="AV95" s="83"/>
      <c r="AW95" s="82" t="str">
        <f t="shared" si="12"/>
        <v/>
      </c>
      <c r="AX95" s="81" t="str">
        <f t="shared" si="22"/>
        <v/>
      </c>
      <c r="AY95" s="22" t="str">
        <f>IFERROR(VLOOKUP((CONCATENATE(AM95,AX95)),Listados!$U$3:$V$11,2,FALSE),"")</f>
        <v/>
      </c>
      <c r="AZ95" s="111">
        <f t="shared" si="23"/>
        <v>100</v>
      </c>
      <c r="BA95" s="717"/>
      <c r="BB95" s="761"/>
      <c r="BC95" s="142">
        <f>+IF(AND(W95="Preventivo",BB91="Fuerte"),2,IF(AND(W95="Preventivo",BB91="Moderado"),1,0))</f>
        <v>0</v>
      </c>
      <c r="BD95" s="68">
        <f>+IF(AND(W95="Detectivo/Correctivo",$BB91="Fuerte"),2,IF(AND(W95="Detectivo/Correctivo",$BB95="Moderado"),1,IF(AND(W95="Preventivo",$BB91="Fuerte"),1,0)))</f>
        <v>0</v>
      </c>
      <c r="BE95" s="142" t="e">
        <f>+N91-BC95</f>
        <v>#N/A</v>
      </c>
      <c r="BF95" s="142" t="e">
        <f>+P91-BD95</f>
        <v>#N/A</v>
      </c>
      <c r="BG95" s="713"/>
      <c r="BH95" s="713"/>
      <c r="BI95" s="713"/>
      <c r="BJ95" s="803"/>
      <c r="BK95" s="803"/>
      <c r="BL95" s="803"/>
      <c r="BM95" s="803"/>
    </row>
    <row r="96" spans="1:65" ht="65.150000000000006" customHeight="1" thickBot="1">
      <c r="A96" s="725"/>
      <c r="B96" s="812"/>
      <c r="C96" s="731"/>
      <c r="D96" s="113"/>
      <c r="E96" s="113"/>
      <c r="F96" s="815"/>
      <c r="G96" s="781"/>
      <c r="H96" s="105"/>
      <c r="I96" s="161"/>
      <c r="J96" s="105"/>
      <c r="K96" s="30"/>
      <c r="L96" s="150"/>
      <c r="M96" s="727"/>
      <c r="N96" s="721"/>
      <c r="O96" s="810"/>
      <c r="P96" s="721"/>
      <c r="Q96" s="715"/>
      <c r="R96" s="714"/>
      <c r="S96" s="140"/>
      <c r="T96" s="102"/>
      <c r="U96" s="52" t="s">
        <v>467</v>
      </c>
      <c r="V96" s="145"/>
      <c r="W96" s="145"/>
      <c r="X96" s="145"/>
      <c r="Y96" s="99" t="str">
        <f t="shared" si="13"/>
        <v/>
      </c>
      <c r="Z96" s="145"/>
      <c r="AA96" s="99" t="str">
        <f t="shared" si="14"/>
        <v/>
      </c>
      <c r="AB96" s="140"/>
      <c r="AC96" s="99" t="str">
        <f t="shared" si="15"/>
        <v/>
      </c>
      <c r="AD96" s="140"/>
      <c r="AE96" s="99" t="str">
        <f t="shared" si="16"/>
        <v/>
      </c>
      <c r="AF96" s="140"/>
      <c r="AG96" s="99" t="str">
        <f t="shared" si="17"/>
        <v/>
      </c>
      <c r="AH96" s="140"/>
      <c r="AI96" s="99" t="str">
        <f t="shared" si="18"/>
        <v/>
      </c>
      <c r="AJ96" s="140"/>
      <c r="AK96" s="28" t="str">
        <f t="shared" si="19"/>
        <v/>
      </c>
      <c r="AL96" s="111" t="str">
        <f t="shared" si="20"/>
        <v/>
      </c>
      <c r="AM96" s="111" t="str">
        <f t="shared" si="21"/>
        <v/>
      </c>
      <c r="AN96" s="178"/>
      <c r="AO96" s="178"/>
      <c r="AP96" s="178"/>
      <c r="AQ96" s="178"/>
      <c r="AR96" s="178"/>
      <c r="AS96" s="178"/>
      <c r="AT96" s="178"/>
      <c r="AU96" s="179" t="str">
        <f>IFERROR(VLOOKUP(AT96,'Seguridad Información'!$I$61:$J$65,2,0),"")</f>
        <v/>
      </c>
      <c r="AV96" s="83"/>
      <c r="AW96" s="82" t="str">
        <f t="shared" si="12"/>
        <v/>
      </c>
      <c r="AX96" s="81" t="str">
        <f t="shared" si="22"/>
        <v/>
      </c>
      <c r="AY96" s="22" t="str">
        <f>IFERROR(VLOOKUP((CONCATENATE(AM96,AX96)),Listados!$U$3:$V$11,2,FALSE),"")</f>
        <v/>
      </c>
      <c r="AZ96" s="111">
        <f t="shared" si="23"/>
        <v>100</v>
      </c>
      <c r="BA96" s="718"/>
      <c r="BB96" s="761"/>
      <c r="BC96" s="142">
        <f>+IF(AND(W96="Preventivo",BB91="Fuerte"),2,IF(AND(W96="Preventivo",BB91="Moderado"),1,0))</f>
        <v>0</v>
      </c>
      <c r="BD96" s="68">
        <f>+IF(AND(W96="Detectivo/Correctivo",$BB91="Fuerte"),2,IF(AND(W96="Detectivo/Correctivo",$BB96="Moderado"),1,IF(AND(W96="Preventivo",$BB91="Fuerte"),1,0)))</f>
        <v>0</v>
      </c>
      <c r="BE96" s="142" t="e">
        <f>+N91-BC96</f>
        <v>#N/A</v>
      </c>
      <c r="BF96" s="142" t="e">
        <f>+P91-BD96</f>
        <v>#N/A</v>
      </c>
      <c r="BG96" s="714"/>
      <c r="BH96" s="714"/>
      <c r="BI96" s="714"/>
      <c r="BJ96" s="804"/>
      <c r="BK96" s="804"/>
      <c r="BL96" s="804"/>
      <c r="BM96" s="804"/>
    </row>
    <row r="97" spans="1:65" ht="65.150000000000006" customHeight="1" thickBot="1">
      <c r="A97" s="723">
        <v>16</v>
      </c>
      <c r="B97" s="811"/>
      <c r="C97" s="729" t="str">
        <f>IFERROR(VLOOKUP(B97,Listados!B$3:C$20,2,FALSE),"")</f>
        <v/>
      </c>
      <c r="D97" s="114"/>
      <c r="E97" s="114"/>
      <c r="F97" s="813"/>
      <c r="G97" s="735"/>
      <c r="H97" s="105"/>
      <c r="I97" s="161"/>
      <c r="J97" s="105"/>
      <c r="K97" s="109"/>
      <c r="L97" s="18"/>
      <c r="M97" s="762"/>
      <c r="N97" s="719" t="e">
        <f>+VLOOKUP(M97,Listados!$K$8:$L$12,2,0)</f>
        <v>#N/A</v>
      </c>
      <c r="O97" s="809"/>
      <c r="P97" s="719" t="e">
        <f>+VLOOKUP(O97,Listados!$K$13:$L$17,2,0)</f>
        <v>#N/A</v>
      </c>
      <c r="Q97" s="714" t="str">
        <f>IF(AND(M97&lt;&gt;"",O97&lt;&gt;""),VLOOKUP(M97&amp;O97,Listados!$M$3:$N$27,2,FALSE),"")</f>
        <v/>
      </c>
      <c r="R97" s="712" t="e">
        <f>+VLOOKUP(Q97,Listados!$P$3:$Q$6,2,FALSE)</f>
        <v>#N/A</v>
      </c>
      <c r="S97" s="140"/>
      <c r="T97" s="98"/>
      <c r="U97" s="52" t="s">
        <v>467</v>
      </c>
      <c r="V97" s="145"/>
      <c r="W97" s="145"/>
      <c r="X97" s="145"/>
      <c r="Y97" s="99" t="str">
        <f t="shared" si="13"/>
        <v/>
      </c>
      <c r="Z97" s="145"/>
      <c r="AA97" s="99" t="str">
        <f t="shared" si="14"/>
        <v/>
      </c>
      <c r="AB97" s="140"/>
      <c r="AC97" s="99" t="str">
        <f t="shared" si="15"/>
        <v/>
      </c>
      <c r="AD97" s="140"/>
      <c r="AE97" s="99" t="str">
        <f t="shared" si="16"/>
        <v/>
      </c>
      <c r="AF97" s="140"/>
      <c r="AG97" s="99" t="str">
        <f t="shared" si="17"/>
        <v/>
      </c>
      <c r="AH97" s="140"/>
      <c r="AI97" s="99" t="str">
        <f t="shared" si="18"/>
        <v/>
      </c>
      <c r="AJ97" s="140"/>
      <c r="AK97" s="28" t="str">
        <f t="shared" si="19"/>
        <v/>
      </c>
      <c r="AL97" s="111" t="str">
        <f t="shared" si="20"/>
        <v/>
      </c>
      <c r="AM97" s="111" t="str">
        <f t="shared" si="21"/>
        <v/>
      </c>
      <c r="AN97" s="178"/>
      <c r="AO97" s="178"/>
      <c r="AP97" s="178"/>
      <c r="AQ97" s="178"/>
      <c r="AR97" s="178"/>
      <c r="AS97" s="178"/>
      <c r="AT97" s="178"/>
      <c r="AU97" s="179" t="str">
        <f>IFERROR(VLOOKUP(AT97,'Seguridad Información'!$I$61:$J$65,2,0),"")</f>
        <v/>
      </c>
      <c r="AV97" s="83"/>
      <c r="AW97" s="82" t="str">
        <f t="shared" si="12"/>
        <v/>
      </c>
      <c r="AX97" s="81" t="str">
        <f t="shared" si="22"/>
        <v/>
      </c>
      <c r="AY97" s="22" t="str">
        <f>IFERROR(VLOOKUP((CONCATENATE(AM97,AX97)),Listados!$U$3:$V$11,2,FALSE),"")</f>
        <v/>
      </c>
      <c r="AZ97" s="111">
        <f t="shared" si="23"/>
        <v>100</v>
      </c>
      <c r="BA97" s="716">
        <f>AVERAGE(AZ97:AZ102)</f>
        <v>100</v>
      </c>
      <c r="BB97" s="718" t="str">
        <f>IF(BA97&lt;=50, "Débil", IF(BA97&lt;=99,"Moderado","Fuerte"))</f>
        <v>Fuerte</v>
      </c>
      <c r="BC97" s="142">
        <f>+IF(AND(W97="Preventivo",BB97="Fuerte"),2,IF(AND(W97="Preventivo",BB97="Moderado"),1,0))</f>
        <v>0</v>
      </c>
      <c r="BD97" s="68">
        <f>+IF(AND(W97="Detectivo/Correctivo",$BB97="Fuerte"),2,IF(AND(W97="Detectivo/Correctivo",$BB97="Moderado"),1,IF(AND(W97="Preventivo",$BB97="Fuerte"),1,0)))</f>
        <v>0</v>
      </c>
      <c r="BE97" s="142" t="e">
        <f>+N97-BC97</f>
        <v>#N/A</v>
      </c>
      <c r="BF97" s="142" t="e">
        <f>+P97-BD97</f>
        <v>#N/A</v>
      </c>
      <c r="BG97" s="712" t="e">
        <f>+VLOOKUP(MIN(BE97,BE98,BE99,BE100,BE101,BE102),Listados!$J$18:$K$24,2,TRUE)</f>
        <v>#N/A</v>
      </c>
      <c r="BH97" s="712" t="e">
        <f>+VLOOKUP(MIN(BF97,BF98,BF99,BF100,BF101,BF102),Listados!$J$27:$K$32,2,TRUE)</f>
        <v>#N/A</v>
      </c>
      <c r="BI97" s="712" t="e">
        <f>IF(AND(BG97&lt;&gt;"",BH97&lt;&gt;""),VLOOKUP(BG97&amp;BH97,Listados!$M$3:$N$27,2,FALSE),"")</f>
        <v>#N/A</v>
      </c>
      <c r="BJ97" s="802" t="e">
        <f>+IF($R97="Asumir el riesgo","NA","")</f>
        <v>#N/A</v>
      </c>
      <c r="BK97" s="802" t="e">
        <f>+IF($R97="Asumir el riesgo","NA","")</f>
        <v>#N/A</v>
      </c>
      <c r="BL97" s="802" t="e">
        <f>+IF($R97="Asumir el riesgo","NA","")</f>
        <v>#N/A</v>
      </c>
      <c r="BM97" s="802" t="e">
        <f>+IF($R97="Asumir el riesgo","NA","")</f>
        <v>#N/A</v>
      </c>
    </row>
    <row r="98" spans="1:65" ht="65.150000000000006" customHeight="1" thickBot="1">
      <c r="A98" s="724"/>
      <c r="B98" s="812"/>
      <c r="C98" s="730"/>
      <c r="D98" s="158"/>
      <c r="E98" s="158"/>
      <c r="F98" s="814"/>
      <c r="G98" s="736"/>
      <c r="H98" s="105"/>
      <c r="I98" s="161"/>
      <c r="J98" s="105"/>
      <c r="K98" s="160"/>
      <c r="L98" s="150"/>
      <c r="M98" s="727"/>
      <c r="N98" s="720"/>
      <c r="O98" s="810"/>
      <c r="P98" s="720"/>
      <c r="Q98" s="715"/>
      <c r="R98" s="713"/>
      <c r="S98" s="140"/>
      <c r="T98" s="180"/>
      <c r="U98" s="52" t="s">
        <v>467</v>
      </c>
      <c r="V98" s="145"/>
      <c r="W98" s="145"/>
      <c r="X98" s="145"/>
      <c r="Y98" s="99" t="str">
        <f t="shared" si="13"/>
        <v/>
      </c>
      <c r="Z98" s="145"/>
      <c r="AA98" s="99" t="str">
        <f t="shared" si="14"/>
        <v/>
      </c>
      <c r="AB98" s="140"/>
      <c r="AC98" s="99" t="str">
        <f t="shared" si="15"/>
        <v/>
      </c>
      <c r="AD98" s="140"/>
      <c r="AE98" s="99" t="str">
        <f t="shared" si="16"/>
        <v/>
      </c>
      <c r="AF98" s="140"/>
      <c r="AG98" s="99" t="str">
        <f t="shared" si="17"/>
        <v/>
      </c>
      <c r="AH98" s="140"/>
      <c r="AI98" s="99" t="str">
        <f t="shared" si="18"/>
        <v/>
      </c>
      <c r="AJ98" s="140"/>
      <c r="AK98" s="28" t="str">
        <f t="shared" si="19"/>
        <v/>
      </c>
      <c r="AL98" s="111" t="str">
        <f t="shared" si="20"/>
        <v/>
      </c>
      <c r="AM98" s="111" t="str">
        <f t="shared" si="21"/>
        <v/>
      </c>
      <c r="AN98" s="178"/>
      <c r="AO98" s="178"/>
      <c r="AP98" s="178"/>
      <c r="AQ98" s="178"/>
      <c r="AR98" s="178"/>
      <c r="AS98" s="178"/>
      <c r="AT98" s="178"/>
      <c r="AU98" s="179" t="str">
        <f>IFERROR(VLOOKUP(AT98,'Seguridad Información'!$I$61:$J$65,2,0),"")</f>
        <v/>
      </c>
      <c r="AV98" s="83"/>
      <c r="AW98" s="82" t="str">
        <f t="shared" si="12"/>
        <v/>
      </c>
      <c r="AX98" s="81" t="str">
        <f t="shared" si="22"/>
        <v/>
      </c>
      <c r="AY98" s="22" t="str">
        <f>IFERROR(VLOOKUP((CONCATENATE(AM98,AX98)),Listados!$U$3:$V$11,2,FALSE),"")</f>
        <v/>
      </c>
      <c r="AZ98" s="111">
        <f t="shared" si="23"/>
        <v>100</v>
      </c>
      <c r="BA98" s="717"/>
      <c r="BB98" s="761"/>
      <c r="BC98" s="142">
        <f>+IF(AND(W98="Preventivo",BB97="Fuerte"),2,IF(AND(W98="Preventivo",BB97="Moderado"),1,0))</f>
        <v>0</v>
      </c>
      <c r="BD98" s="68">
        <f>+IF(AND(W98="Detectivo/Correctivo",$BB97="Fuerte"),2,IF(AND(W98="Detectivo/Correctivo",$BB98="Moderado"),1,IF(AND(W98="Preventivo",$BB97="Fuerte"),1,0)))</f>
        <v>0</v>
      </c>
      <c r="BE98" s="142" t="e">
        <f>+N97-BC98</f>
        <v>#N/A</v>
      </c>
      <c r="BF98" s="142" t="e">
        <f>+P97-BD98</f>
        <v>#N/A</v>
      </c>
      <c r="BG98" s="713"/>
      <c r="BH98" s="713"/>
      <c r="BI98" s="713"/>
      <c r="BJ98" s="803"/>
      <c r="BK98" s="803"/>
      <c r="BL98" s="803"/>
      <c r="BM98" s="803"/>
    </row>
    <row r="99" spans="1:65" ht="65.150000000000006" customHeight="1" thickBot="1">
      <c r="A99" s="724"/>
      <c r="B99" s="812"/>
      <c r="C99" s="730"/>
      <c r="D99" s="158"/>
      <c r="E99" s="158"/>
      <c r="F99" s="814"/>
      <c r="G99" s="736"/>
      <c r="H99" s="105"/>
      <c r="I99" s="161"/>
      <c r="J99" s="105"/>
      <c r="K99" s="160"/>
      <c r="L99" s="150"/>
      <c r="M99" s="727"/>
      <c r="N99" s="720"/>
      <c r="O99" s="810"/>
      <c r="P99" s="720"/>
      <c r="Q99" s="715"/>
      <c r="R99" s="713"/>
      <c r="S99" s="140"/>
      <c r="T99" s="100"/>
      <c r="U99" s="52" t="s">
        <v>467</v>
      </c>
      <c r="V99" s="145"/>
      <c r="W99" s="145"/>
      <c r="X99" s="145"/>
      <c r="Y99" s="99" t="str">
        <f t="shared" si="13"/>
        <v/>
      </c>
      <c r="Z99" s="145"/>
      <c r="AA99" s="99" t="str">
        <f t="shared" si="14"/>
        <v/>
      </c>
      <c r="AB99" s="140"/>
      <c r="AC99" s="99" t="str">
        <f t="shared" si="15"/>
        <v/>
      </c>
      <c r="AD99" s="140"/>
      <c r="AE99" s="99" t="str">
        <f t="shared" si="16"/>
        <v/>
      </c>
      <c r="AF99" s="140"/>
      <c r="AG99" s="99" t="str">
        <f t="shared" si="17"/>
        <v/>
      </c>
      <c r="AH99" s="140"/>
      <c r="AI99" s="99" t="str">
        <f t="shared" si="18"/>
        <v/>
      </c>
      <c r="AJ99" s="140"/>
      <c r="AK99" s="28" t="str">
        <f t="shared" si="19"/>
        <v/>
      </c>
      <c r="AL99" s="111" t="str">
        <f t="shared" si="20"/>
        <v/>
      </c>
      <c r="AM99" s="111" t="str">
        <f t="shared" si="21"/>
        <v/>
      </c>
      <c r="AN99" s="178"/>
      <c r="AO99" s="178"/>
      <c r="AP99" s="178"/>
      <c r="AQ99" s="178"/>
      <c r="AR99" s="178"/>
      <c r="AS99" s="178"/>
      <c r="AT99" s="178"/>
      <c r="AU99" s="179" t="str">
        <f>IFERROR(VLOOKUP(AT99,'Seguridad Información'!$I$61:$J$65,2,0),"")</f>
        <v/>
      </c>
      <c r="AV99" s="83"/>
      <c r="AW99" s="82" t="str">
        <f t="shared" si="12"/>
        <v/>
      </c>
      <c r="AX99" s="81" t="str">
        <f t="shared" si="22"/>
        <v/>
      </c>
      <c r="AY99" s="22" t="str">
        <f>IFERROR(VLOOKUP((CONCATENATE(AM99,AX99)),Listados!$U$3:$V$11,2,FALSE),"")</f>
        <v/>
      </c>
      <c r="AZ99" s="111">
        <f t="shared" si="23"/>
        <v>100</v>
      </c>
      <c r="BA99" s="717"/>
      <c r="BB99" s="761"/>
      <c r="BC99" s="142">
        <f>+IF(AND(W99="Preventivo",BB97="Fuerte"),2,IF(AND(W99="Preventivo",BB97="Moderado"),1,0))</f>
        <v>0</v>
      </c>
      <c r="BD99" s="68">
        <f>+IF(AND(W99="Detectivo/Correctivo",$BB97="Fuerte"),2,IF(AND(W99="Detectivo/Correctivo",$BB99="Moderado"),1,IF(AND(W99="Preventivo",$BB97="Fuerte"),1,0)))</f>
        <v>0</v>
      </c>
      <c r="BE99" s="142" t="e">
        <f>+N97-BC99</f>
        <v>#N/A</v>
      </c>
      <c r="BF99" s="142" t="e">
        <f>+P97-BD99</f>
        <v>#N/A</v>
      </c>
      <c r="BG99" s="713"/>
      <c r="BH99" s="713"/>
      <c r="BI99" s="713"/>
      <c r="BJ99" s="803"/>
      <c r="BK99" s="803"/>
      <c r="BL99" s="803"/>
      <c r="BM99" s="803"/>
    </row>
    <row r="100" spans="1:65" ht="65.150000000000006" customHeight="1" thickBot="1">
      <c r="A100" s="724"/>
      <c r="B100" s="812"/>
      <c r="C100" s="730"/>
      <c r="D100" s="158"/>
      <c r="E100" s="158"/>
      <c r="F100" s="814"/>
      <c r="G100" s="736"/>
      <c r="H100" s="105"/>
      <c r="I100" s="161"/>
      <c r="J100" s="105"/>
      <c r="K100" s="160"/>
      <c r="L100" s="150"/>
      <c r="M100" s="727"/>
      <c r="N100" s="720"/>
      <c r="O100" s="810"/>
      <c r="P100" s="720"/>
      <c r="Q100" s="715"/>
      <c r="R100" s="713"/>
      <c r="S100" s="140"/>
      <c r="T100" s="101"/>
      <c r="U100" s="52" t="s">
        <v>467</v>
      </c>
      <c r="V100" s="145"/>
      <c r="W100" s="145"/>
      <c r="X100" s="145"/>
      <c r="Y100" s="99" t="str">
        <f t="shared" si="13"/>
        <v/>
      </c>
      <c r="Z100" s="145"/>
      <c r="AA100" s="99" t="str">
        <f t="shared" si="14"/>
        <v/>
      </c>
      <c r="AB100" s="140"/>
      <c r="AC100" s="99" t="str">
        <f t="shared" si="15"/>
        <v/>
      </c>
      <c r="AD100" s="140"/>
      <c r="AE100" s="99" t="str">
        <f t="shared" si="16"/>
        <v/>
      </c>
      <c r="AF100" s="140"/>
      <c r="AG100" s="99" t="str">
        <f t="shared" si="17"/>
        <v/>
      </c>
      <c r="AH100" s="140"/>
      <c r="AI100" s="99" t="str">
        <f t="shared" si="18"/>
        <v/>
      </c>
      <c r="AJ100" s="140"/>
      <c r="AK100" s="28" t="str">
        <f t="shared" si="19"/>
        <v/>
      </c>
      <c r="AL100" s="111" t="str">
        <f t="shared" si="20"/>
        <v/>
      </c>
      <c r="AM100" s="111" t="str">
        <f t="shared" si="21"/>
        <v/>
      </c>
      <c r="AN100" s="178"/>
      <c r="AO100" s="178"/>
      <c r="AP100" s="178"/>
      <c r="AQ100" s="178"/>
      <c r="AR100" s="178"/>
      <c r="AS100" s="178"/>
      <c r="AT100" s="178"/>
      <c r="AU100" s="179" t="str">
        <f>IFERROR(VLOOKUP(AT100,'Seguridad Información'!$I$61:$J$65,2,0),"")</f>
        <v/>
      </c>
      <c r="AV100" s="83"/>
      <c r="AW100" s="82" t="str">
        <f t="shared" si="12"/>
        <v/>
      </c>
      <c r="AX100" s="81" t="str">
        <f t="shared" si="22"/>
        <v/>
      </c>
      <c r="AY100" s="22" t="str">
        <f>IFERROR(VLOOKUP((CONCATENATE(AM100,AX100)),Listados!$U$3:$V$11,2,FALSE),"")</f>
        <v/>
      </c>
      <c r="AZ100" s="111">
        <f t="shared" si="23"/>
        <v>100</v>
      </c>
      <c r="BA100" s="717"/>
      <c r="BB100" s="761"/>
      <c r="BC100" s="142">
        <f>+IF(AND(W100="Preventivo",BB97="Fuerte"),2,IF(AND(W100="Preventivo",BB97="Moderado"),1,0))</f>
        <v>0</v>
      </c>
      <c r="BD100" s="68">
        <f>+IF(AND(W100="Detectivo/Correctivo",$BB97="Fuerte"),2,IF(AND(W100="Detectivo/Correctivo",$BB100="Moderado"),1,IF(AND(W100="Preventivo",$BB97="Fuerte"),1,0)))</f>
        <v>0</v>
      </c>
      <c r="BE100" s="142" t="e">
        <f>+N97-BC100</f>
        <v>#N/A</v>
      </c>
      <c r="BF100" s="142" t="e">
        <f>+P97-BD100</f>
        <v>#N/A</v>
      </c>
      <c r="BG100" s="713"/>
      <c r="BH100" s="713"/>
      <c r="BI100" s="713"/>
      <c r="BJ100" s="803"/>
      <c r="BK100" s="803"/>
      <c r="BL100" s="803"/>
      <c r="BM100" s="803"/>
    </row>
    <row r="101" spans="1:65" ht="65.150000000000006" customHeight="1" thickBot="1">
      <c r="A101" s="724"/>
      <c r="B101" s="812"/>
      <c r="C101" s="730"/>
      <c r="D101" s="116"/>
      <c r="E101" s="116"/>
      <c r="F101" s="814"/>
      <c r="G101" s="736"/>
      <c r="H101" s="105"/>
      <c r="I101" s="161"/>
      <c r="J101" s="105"/>
      <c r="K101" s="29"/>
      <c r="L101" s="150"/>
      <c r="M101" s="727"/>
      <c r="N101" s="720"/>
      <c r="O101" s="810"/>
      <c r="P101" s="720"/>
      <c r="Q101" s="715"/>
      <c r="R101" s="713"/>
      <c r="S101" s="140"/>
      <c r="T101" s="180"/>
      <c r="U101" s="52" t="s">
        <v>467</v>
      </c>
      <c r="V101" s="145"/>
      <c r="W101" s="145"/>
      <c r="X101" s="145"/>
      <c r="Y101" s="99" t="str">
        <f t="shared" si="13"/>
        <v/>
      </c>
      <c r="Z101" s="145"/>
      <c r="AA101" s="99" t="str">
        <f t="shared" si="14"/>
        <v/>
      </c>
      <c r="AB101" s="140"/>
      <c r="AC101" s="99" t="str">
        <f t="shared" si="15"/>
        <v/>
      </c>
      <c r="AD101" s="140"/>
      <c r="AE101" s="99" t="str">
        <f t="shared" si="16"/>
        <v/>
      </c>
      <c r="AF101" s="140"/>
      <c r="AG101" s="99" t="str">
        <f t="shared" si="17"/>
        <v/>
      </c>
      <c r="AH101" s="140"/>
      <c r="AI101" s="99" t="str">
        <f t="shared" si="18"/>
        <v/>
      </c>
      <c r="AJ101" s="140"/>
      <c r="AK101" s="28" t="str">
        <f t="shared" si="19"/>
        <v/>
      </c>
      <c r="AL101" s="111" t="str">
        <f t="shared" si="20"/>
        <v/>
      </c>
      <c r="AM101" s="111" t="str">
        <f t="shared" si="21"/>
        <v/>
      </c>
      <c r="AN101" s="178"/>
      <c r="AO101" s="178"/>
      <c r="AP101" s="178"/>
      <c r="AQ101" s="178"/>
      <c r="AR101" s="178"/>
      <c r="AS101" s="178"/>
      <c r="AT101" s="178"/>
      <c r="AU101" s="179" t="str">
        <f>IFERROR(VLOOKUP(AT101,'Seguridad Información'!$I$61:$J$65,2,0),"")</f>
        <v/>
      </c>
      <c r="AV101" s="83"/>
      <c r="AW101" s="82" t="str">
        <f t="shared" si="12"/>
        <v/>
      </c>
      <c r="AX101" s="81" t="str">
        <f t="shared" si="22"/>
        <v/>
      </c>
      <c r="AY101" s="22" t="str">
        <f>IFERROR(VLOOKUP((CONCATENATE(AM101,AX101)),Listados!$U$3:$V$11,2,FALSE),"")</f>
        <v/>
      </c>
      <c r="AZ101" s="111">
        <f t="shared" si="23"/>
        <v>100</v>
      </c>
      <c r="BA101" s="717"/>
      <c r="BB101" s="761"/>
      <c r="BC101" s="142">
        <f>+IF(AND(W101="Preventivo",BB97="Fuerte"),2,IF(AND(W101="Preventivo",BB97="Moderado"),1,0))</f>
        <v>0</v>
      </c>
      <c r="BD101" s="68">
        <f>+IF(AND(W101="Detectivo/Correctivo",$BB97="Fuerte"),2,IF(AND(W101="Detectivo/Correctivo",$BB101="Moderado"),1,IF(AND(W101="Preventivo",$BB97="Fuerte"),1,0)))</f>
        <v>0</v>
      </c>
      <c r="BE101" s="142" t="e">
        <f>+N97-BC101</f>
        <v>#N/A</v>
      </c>
      <c r="BF101" s="142" t="e">
        <f>+P97-BD101</f>
        <v>#N/A</v>
      </c>
      <c r="BG101" s="713"/>
      <c r="BH101" s="713"/>
      <c r="BI101" s="713"/>
      <c r="BJ101" s="803"/>
      <c r="BK101" s="803"/>
      <c r="BL101" s="803"/>
      <c r="BM101" s="803"/>
    </row>
    <row r="102" spans="1:65" ht="65.150000000000006" customHeight="1" thickBot="1">
      <c r="A102" s="725"/>
      <c r="B102" s="812"/>
      <c r="C102" s="731"/>
      <c r="D102" s="113"/>
      <c r="E102" s="113"/>
      <c r="F102" s="815"/>
      <c r="G102" s="781"/>
      <c r="H102" s="105"/>
      <c r="I102" s="161"/>
      <c r="J102" s="105"/>
      <c r="K102" s="30"/>
      <c r="L102" s="150"/>
      <c r="M102" s="727"/>
      <c r="N102" s="721"/>
      <c r="O102" s="810"/>
      <c r="P102" s="721"/>
      <c r="Q102" s="715"/>
      <c r="R102" s="714"/>
      <c r="S102" s="140"/>
      <c r="T102" s="102"/>
      <c r="U102" s="52" t="s">
        <v>467</v>
      </c>
      <c r="V102" s="145"/>
      <c r="W102" s="145"/>
      <c r="X102" s="145"/>
      <c r="Y102" s="99" t="str">
        <f t="shared" si="13"/>
        <v/>
      </c>
      <c r="Z102" s="145"/>
      <c r="AA102" s="99" t="str">
        <f t="shared" si="14"/>
        <v/>
      </c>
      <c r="AB102" s="140"/>
      <c r="AC102" s="99" t="str">
        <f t="shared" si="15"/>
        <v/>
      </c>
      <c r="AD102" s="140"/>
      <c r="AE102" s="99" t="str">
        <f t="shared" si="16"/>
        <v/>
      </c>
      <c r="AF102" s="140"/>
      <c r="AG102" s="99" t="str">
        <f t="shared" si="17"/>
        <v/>
      </c>
      <c r="AH102" s="140"/>
      <c r="AI102" s="99" t="str">
        <f t="shared" si="18"/>
        <v/>
      </c>
      <c r="AJ102" s="140"/>
      <c r="AK102" s="28" t="str">
        <f t="shared" si="19"/>
        <v/>
      </c>
      <c r="AL102" s="111" t="str">
        <f t="shared" si="20"/>
        <v/>
      </c>
      <c r="AM102" s="111" t="str">
        <f t="shared" si="21"/>
        <v/>
      </c>
      <c r="AN102" s="178"/>
      <c r="AO102" s="178"/>
      <c r="AP102" s="178"/>
      <c r="AQ102" s="178"/>
      <c r="AR102" s="178"/>
      <c r="AS102" s="178"/>
      <c r="AT102" s="178"/>
      <c r="AU102" s="179" t="str">
        <f>IFERROR(VLOOKUP(AT102,'Seguridad Información'!$I$61:$J$65,2,0),"")</f>
        <v/>
      </c>
      <c r="AV102" s="83"/>
      <c r="AW102" s="82" t="str">
        <f t="shared" si="12"/>
        <v/>
      </c>
      <c r="AX102" s="81" t="str">
        <f t="shared" si="22"/>
        <v/>
      </c>
      <c r="AY102" s="22" t="str">
        <f>IFERROR(VLOOKUP((CONCATENATE(AM102,AX102)),Listados!$U$3:$V$11,2,FALSE),"")</f>
        <v/>
      </c>
      <c r="AZ102" s="111">
        <f t="shared" si="23"/>
        <v>100</v>
      </c>
      <c r="BA102" s="718"/>
      <c r="BB102" s="761"/>
      <c r="BC102" s="142">
        <f>+IF(AND(W102="Preventivo",BB97="Fuerte"),2,IF(AND(W102="Preventivo",BB97="Moderado"),1,0))</f>
        <v>0</v>
      </c>
      <c r="BD102" s="68">
        <f>+IF(AND(W102="Detectivo/Correctivo",$BB97="Fuerte"),2,IF(AND(W102="Detectivo/Correctivo",$BB102="Moderado"),1,IF(AND(W102="Preventivo",$BB97="Fuerte"),1,0)))</f>
        <v>0</v>
      </c>
      <c r="BE102" s="142" t="e">
        <f>+N97-BC102</f>
        <v>#N/A</v>
      </c>
      <c r="BF102" s="142" t="e">
        <f>+P97-BD102</f>
        <v>#N/A</v>
      </c>
      <c r="BG102" s="714"/>
      <c r="BH102" s="714"/>
      <c r="BI102" s="714"/>
      <c r="BJ102" s="804"/>
      <c r="BK102" s="804"/>
      <c r="BL102" s="804"/>
      <c r="BM102" s="804"/>
    </row>
    <row r="103" spans="1:65" ht="65.150000000000006" customHeight="1" thickBot="1">
      <c r="A103" s="723">
        <v>17</v>
      </c>
      <c r="B103" s="811"/>
      <c r="C103" s="729" t="str">
        <f>IFERROR(VLOOKUP(B103,Listados!B$3:C$20,2,FALSE),"")</f>
        <v/>
      </c>
      <c r="D103" s="114"/>
      <c r="E103" s="114"/>
      <c r="F103" s="813"/>
      <c r="G103" s="735"/>
      <c r="H103" s="105"/>
      <c r="I103" s="161"/>
      <c r="J103" s="105"/>
      <c r="K103" s="109"/>
      <c r="L103" s="18"/>
      <c r="M103" s="762"/>
      <c r="N103" s="719" t="e">
        <f>+VLOOKUP(M103,Listados!$K$8:$L$12,2,0)</f>
        <v>#N/A</v>
      </c>
      <c r="O103" s="809"/>
      <c r="P103" s="719" t="e">
        <f>+VLOOKUP(O103,Listados!$K$13:$L$17,2,0)</f>
        <v>#N/A</v>
      </c>
      <c r="Q103" s="714" t="str">
        <f>IF(AND(M103&lt;&gt;"",O103&lt;&gt;""),VLOOKUP(M103&amp;O103,Listados!$M$3:$N$27,2,FALSE),"")</f>
        <v/>
      </c>
      <c r="R103" s="712" t="e">
        <f>+VLOOKUP(Q103,Listados!$P$3:$Q$6,2,FALSE)</f>
        <v>#N/A</v>
      </c>
      <c r="S103" s="140"/>
      <c r="T103" s="98"/>
      <c r="U103" s="52" t="s">
        <v>467</v>
      </c>
      <c r="V103" s="145"/>
      <c r="W103" s="145"/>
      <c r="X103" s="145"/>
      <c r="Y103" s="99" t="str">
        <f t="shared" si="13"/>
        <v/>
      </c>
      <c r="Z103" s="145"/>
      <c r="AA103" s="99" t="str">
        <f t="shared" si="14"/>
        <v/>
      </c>
      <c r="AB103" s="140"/>
      <c r="AC103" s="99" t="str">
        <f t="shared" si="15"/>
        <v/>
      </c>
      <c r="AD103" s="140"/>
      <c r="AE103" s="99" t="str">
        <f t="shared" si="16"/>
        <v/>
      </c>
      <c r="AF103" s="140"/>
      <c r="AG103" s="99" t="str">
        <f t="shared" si="17"/>
        <v/>
      </c>
      <c r="AH103" s="140"/>
      <c r="AI103" s="99" t="str">
        <f t="shared" si="18"/>
        <v/>
      </c>
      <c r="AJ103" s="140"/>
      <c r="AK103" s="28" t="str">
        <f t="shared" si="19"/>
        <v/>
      </c>
      <c r="AL103" s="111" t="str">
        <f t="shared" si="20"/>
        <v/>
      </c>
      <c r="AM103" s="111" t="str">
        <f t="shared" si="21"/>
        <v/>
      </c>
      <c r="AN103" s="178"/>
      <c r="AO103" s="178"/>
      <c r="AP103" s="178"/>
      <c r="AQ103" s="178"/>
      <c r="AR103" s="178"/>
      <c r="AS103" s="178"/>
      <c r="AT103" s="178"/>
      <c r="AU103" s="179" t="str">
        <f>IFERROR(VLOOKUP(AT103,'Seguridad Información'!$I$61:$J$65,2,0),"")</f>
        <v/>
      </c>
      <c r="AV103" s="83"/>
      <c r="AW103" s="82" t="str">
        <f t="shared" si="12"/>
        <v/>
      </c>
      <c r="AX103" s="81" t="str">
        <f t="shared" si="22"/>
        <v/>
      </c>
      <c r="AY103" s="22" t="str">
        <f>IFERROR(VLOOKUP((CONCATENATE(AM103,AX103)),Listados!$U$3:$V$11,2,FALSE),"")</f>
        <v/>
      </c>
      <c r="AZ103" s="111">
        <f t="shared" si="23"/>
        <v>100</v>
      </c>
      <c r="BA103" s="716">
        <f>AVERAGE(AZ103:AZ108)</f>
        <v>100</v>
      </c>
      <c r="BB103" s="718" t="str">
        <f>IF(BA103&lt;=50, "Débil", IF(BA103&lt;=99,"Moderado","Fuerte"))</f>
        <v>Fuerte</v>
      </c>
      <c r="BC103" s="142">
        <f>+IF(AND(W103="Preventivo",BB103="Fuerte"),2,IF(AND(W103="Preventivo",BB103="Moderado"),1,0))</f>
        <v>0</v>
      </c>
      <c r="BD103" s="68">
        <f>+IF(AND(W103="Detectivo/Correctivo",$BB103="Fuerte"),2,IF(AND(W103="Detectivo/Correctivo",$BB103="Moderado"),1,IF(AND(W103="Preventivo",$BB103="Fuerte"),1,0)))</f>
        <v>0</v>
      </c>
      <c r="BE103" s="142" t="e">
        <f>+N103-BC103</f>
        <v>#N/A</v>
      </c>
      <c r="BF103" s="142" t="e">
        <f>+P103-BD103</f>
        <v>#N/A</v>
      </c>
      <c r="BG103" s="712" t="e">
        <f>+VLOOKUP(MIN(BE103,BE104,BE105,BE106,BE107,BE108),Listados!$J$18:$K$24,2,TRUE)</f>
        <v>#N/A</v>
      </c>
      <c r="BH103" s="712" t="e">
        <f>+VLOOKUP(MIN(BF103,BF104,BF105,BF106,BF107,BF108),Listados!$J$27:$K$32,2,TRUE)</f>
        <v>#N/A</v>
      </c>
      <c r="BI103" s="712" t="e">
        <f>IF(AND(BG103&lt;&gt;"",BH103&lt;&gt;""),VLOOKUP(BG103&amp;BH103,Listados!$M$3:$N$27,2,FALSE),"")</f>
        <v>#N/A</v>
      </c>
      <c r="BJ103" s="802" t="e">
        <f>+IF($R103="Asumir el riesgo","NA","")</f>
        <v>#N/A</v>
      </c>
      <c r="BK103" s="802" t="e">
        <f>+IF($R103="Asumir el riesgo","NA","")</f>
        <v>#N/A</v>
      </c>
      <c r="BL103" s="802" t="e">
        <f>+IF($R103="Asumir el riesgo","NA","")</f>
        <v>#N/A</v>
      </c>
      <c r="BM103" s="802" t="e">
        <f>+IF($R103="Asumir el riesgo","NA","")</f>
        <v>#N/A</v>
      </c>
    </row>
    <row r="104" spans="1:65" ht="65.150000000000006" customHeight="1" thickBot="1">
      <c r="A104" s="724"/>
      <c r="B104" s="812"/>
      <c r="C104" s="730"/>
      <c r="D104" s="158"/>
      <c r="E104" s="158"/>
      <c r="F104" s="814"/>
      <c r="G104" s="736"/>
      <c r="H104" s="105"/>
      <c r="I104" s="161"/>
      <c r="J104" s="105"/>
      <c r="K104" s="160"/>
      <c r="L104" s="150"/>
      <c r="M104" s="727"/>
      <c r="N104" s="720"/>
      <c r="O104" s="810"/>
      <c r="P104" s="720"/>
      <c r="Q104" s="715"/>
      <c r="R104" s="713"/>
      <c r="S104" s="140"/>
      <c r="T104" s="180"/>
      <c r="U104" s="52" t="s">
        <v>467</v>
      </c>
      <c r="V104" s="145"/>
      <c r="W104" s="145"/>
      <c r="X104" s="145"/>
      <c r="Y104" s="99" t="str">
        <f t="shared" si="13"/>
        <v/>
      </c>
      <c r="Z104" s="145"/>
      <c r="AA104" s="99" t="str">
        <f t="shared" si="14"/>
        <v/>
      </c>
      <c r="AB104" s="140"/>
      <c r="AC104" s="99" t="str">
        <f t="shared" si="15"/>
        <v/>
      </c>
      <c r="AD104" s="140"/>
      <c r="AE104" s="99" t="str">
        <f t="shared" si="16"/>
        <v/>
      </c>
      <c r="AF104" s="140"/>
      <c r="AG104" s="99" t="str">
        <f t="shared" si="17"/>
        <v/>
      </c>
      <c r="AH104" s="140"/>
      <c r="AI104" s="99" t="str">
        <f t="shared" si="18"/>
        <v/>
      </c>
      <c r="AJ104" s="140"/>
      <c r="AK104" s="28" t="str">
        <f t="shared" si="19"/>
        <v/>
      </c>
      <c r="AL104" s="111" t="str">
        <f t="shared" si="20"/>
        <v/>
      </c>
      <c r="AM104" s="111" t="str">
        <f t="shared" si="21"/>
        <v/>
      </c>
      <c r="AN104" s="178"/>
      <c r="AO104" s="178"/>
      <c r="AP104" s="178"/>
      <c r="AQ104" s="178"/>
      <c r="AR104" s="178"/>
      <c r="AS104" s="178"/>
      <c r="AT104" s="178"/>
      <c r="AU104" s="179" t="str">
        <f>IFERROR(VLOOKUP(AT104,'Seguridad Información'!$I$61:$J$65,2,0),"")</f>
        <v/>
      </c>
      <c r="AV104" s="83"/>
      <c r="AW104" s="82" t="str">
        <f t="shared" si="12"/>
        <v/>
      </c>
      <c r="AX104" s="81" t="str">
        <f t="shared" si="22"/>
        <v/>
      </c>
      <c r="AY104" s="22" t="str">
        <f>IFERROR(VLOOKUP((CONCATENATE(AM104,AX104)),Listados!$U$3:$V$11,2,FALSE),"")</f>
        <v/>
      </c>
      <c r="AZ104" s="111">
        <f t="shared" si="23"/>
        <v>100</v>
      </c>
      <c r="BA104" s="717"/>
      <c r="BB104" s="761"/>
      <c r="BC104" s="142">
        <f>+IF(AND(W104="Preventivo",BB103="Fuerte"),2,IF(AND(W104="Preventivo",BB103="Moderado"),1,0))</f>
        <v>0</v>
      </c>
      <c r="BD104" s="68">
        <f>+IF(AND(W104="Detectivo/Correctivo",$BB103="Fuerte"),2,IF(AND(W104="Detectivo/Correctivo",$BB104="Moderado"),1,IF(AND(W104="Preventivo",$BB103="Fuerte"),1,0)))</f>
        <v>0</v>
      </c>
      <c r="BE104" s="142" t="e">
        <f>+N103-BC104</f>
        <v>#N/A</v>
      </c>
      <c r="BF104" s="142" t="e">
        <f>+P103-BD104</f>
        <v>#N/A</v>
      </c>
      <c r="BG104" s="713"/>
      <c r="BH104" s="713"/>
      <c r="BI104" s="713"/>
      <c r="BJ104" s="803"/>
      <c r="BK104" s="803"/>
      <c r="BL104" s="803"/>
      <c r="BM104" s="803"/>
    </row>
    <row r="105" spans="1:65" ht="65.150000000000006" customHeight="1" thickBot="1">
      <c r="A105" s="724"/>
      <c r="B105" s="812"/>
      <c r="C105" s="730"/>
      <c r="D105" s="158"/>
      <c r="E105" s="158"/>
      <c r="F105" s="814"/>
      <c r="G105" s="736"/>
      <c r="H105" s="105"/>
      <c r="I105" s="161"/>
      <c r="J105" s="105"/>
      <c r="K105" s="160"/>
      <c r="L105" s="150"/>
      <c r="M105" s="727"/>
      <c r="N105" s="720"/>
      <c r="O105" s="810"/>
      <c r="P105" s="720"/>
      <c r="Q105" s="715"/>
      <c r="R105" s="713"/>
      <c r="S105" s="140"/>
      <c r="T105" s="100"/>
      <c r="U105" s="52" t="s">
        <v>467</v>
      </c>
      <c r="V105" s="145"/>
      <c r="W105" s="145"/>
      <c r="X105" s="145"/>
      <c r="Y105" s="99" t="str">
        <f t="shared" si="13"/>
        <v/>
      </c>
      <c r="Z105" s="145"/>
      <c r="AA105" s="99" t="str">
        <f t="shared" si="14"/>
        <v/>
      </c>
      <c r="AB105" s="140"/>
      <c r="AC105" s="99" t="str">
        <f t="shared" si="15"/>
        <v/>
      </c>
      <c r="AD105" s="140"/>
      <c r="AE105" s="99" t="str">
        <f t="shared" si="16"/>
        <v/>
      </c>
      <c r="AF105" s="140"/>
      <c r="AG105" s="99" t="str">
        <f t="shared" si="17"/>
        <v/>
      </c>
      <c r="AH105" s="140"/>
      <c r="AI105" s="99" t="str">
        <f t="shared" si="18"/>
        <v/>
      </c>
      <c r="AJ105" s="140"/>
      <c r="AK105" s="28" t="str">
        <f t="shared" si="19"/>
        <v/>
      </c>
      <c r="AL105" s="111" t="str">
        <f t="shared" si="20"/>
        <v/>
      </c>
      <c r="AM105" s="111" t="str">
        <f t="shared" si="21"/>
        <v/>
      </c>
      <c r="AN105" s="178"/>
      <c r="AO105" s="178"/>
      <c r="AP105" s="178"/>
      <c r="AQ105" s="178"/>
      <c r="AR105" s="178"/>
      <c r="AS105" s="178"/>
      <c r="AT105" s="178"/>
      <c r="AU105" s="179" t="str">
        <f>IFERROR(VLOOKUP(AT105,'Seguridad Información'!$I$61:$J$65,2,0),"")</f>
        <v/>
      </c>
      <c r="AV105" s="83"/>
      <c r="AW105" s="82" t="str">
        <f t="shared" si="12"/>
        <v/>
      </c>
      <c r="AX105" s="81" t="str">
        <f t="shared" si="22"/>
        <v/>
      </c>
      <c r="AY105" s="22" t="str">
        <f>IFERROR(VLOOKUP((CONCATENATE(AM105,AX105)),Listados!$U$3:$V$11,2,FALSE),"")</f>
        <v/>
      </c>
      <c r="AZ105" s="111">
        <f t="shared" si="23"/>
        <v>100</v>
      </c>
      <c r="BA105" s="717"/>
      <c r="BB105" s="761"/>
      <c r="BC105" s="142">
        <f>+IF(AND(W105="Preventivo",BB103="Fuerte"),2,IF(AND(W105="Preventivo",BB103="Moderado"),1,0))</f>
        <v>0</v>
      </c>
      <c r="BD105" s="68">
        <f>+IF(AND(W105="Detectivo/Correctivo",$BB103="Fuerte"),2,IF(AND(W105="Detectivo/Correctivo",$BB105="Moderado"),1,IF(AND(W105="Preventivo",$BB103="Fuerte"),1,0)))</f>
        <v>0</v>
      </c>
      <c r="BE105" s="142" t="e">
        <f>+N103-BC105</f>
        <v>#N/A</v>
      </c>
      <c r="BF105" s="142" t="e">
        <f>+P103-BD105</f>
        <v>#N/A</v>
      </c>
      <c r="BG105" s="713"/>
      <c r="BH105" s="713"/>
      <c r="BI105" s="713"/>
      <c r="BJ105" s="803"/>
      <c r="BK105" s="803"/>
      <c r="BL105" s="803"/>
      <c r="BM105" s="803"/>
    </row>
    <row r="106" spans="1:65" ht="65.150000000000006" customHeight="1" thickBot="1">
      <c r="A106" s="724"/>
      <c r="B106" s="812"/>
      <c r="C106" s="730"/>
      <c r="D106" s="158"/>
      <c r="E106" s="158"/>
      <c r="F106" s="814"/>
      <c r="G106" s="736"/>
      <c r="H106" s="105"/>
      <c r="I106" s="161"/>
      <c r="J106" s="105"/>
      <c r="K106" s="160"/>
      <c r="L106" s="150"/>
      <c r="M106" s="727"/>
      <c r="N106" s="720"/>
      <c r="O106" s="810"/>
      <c r="P106" s="720"/>
      <c r="Q106" s="715"/>
      <c r="R106" s="713"/>
      <c r="S106" s="140"/>
      <c r="T106" s="101"/>
      <c r="U106" s="52" t="s">
        <v>467</v>
      </c>
      <c r="V106" s="145"/>
      <c r="W106" s="145"/>
      <c r="X106" s="145"/>
      <c r="Y106" s="99" t="str">
        <f t="shared" si="13"/>
        <v/>
      </c>
      <c r="Z106" s="145"/>
      <c r="AA106" s="99" t="str">
        <f t="shared" si="14"/>
        <v/>
      </c>
      <c r="AB106" s="140"/>
      <c r="AC106" s="99" t="str">
        <f t="shared" si="15"/>
        <v/>
      </c>
      <c r="AD106" s="140"/>
      <c r="AE106" s="99" t="str">
        <f t="shared" si="16"/>
        <v/>
      </c>
      <c r="AF106" s="140"/>
      <c r="AG106" s="99" t="str">
        <f t="shared" si="17"/>
        <v/>
      </c>
      <c r="AH106" s="140"/>
      <c r="AI106" s="99" t="str">
        <f t="shared" si="18"/>
        <v/>
      </c>
      <c r="AJ106" s="140"/>
      <c r="AK106" s="28" t="str">
        <f t="shared" si="19"/>
        <v/>
      </c>
      <c r="AL106" s="111" t="str">
        <f t="shared" si="20"/>
        <v/>
      </c>
      <c r="AM106" s="111" t="str">
        <f t="shared" si="21"/>
        <v/>
      </c>
      <c r="AN106" s="178"/>
      <c r="AO106" s="178"/>
      <c r="AP106" s="178"/>
      <c r="AQ106" s="178"/>
      <c r="AR106" s="178"/>
      <c r="AS106" s="178"/>
      <c r="AT106" s="178"/>
      <c r="AU106" s="179" t="str">
        <f>IFERROR(VLOOKUP(AT106,'Seguridad Información'!$I$61:$J$65,2,0),"")</f>
        <v/>
      </c>
      <c r="AV106" s="83"/>
      <c r="AW106" s="82" t="str">
        <f t="shared" si="12"/>
        <v/>
      </c>
      <c r="AX106" s="81" t="str">
        <f t="shared" si="22"/>
        <v/>
      </c>
      <c r="AY106" s="22" t="str">
        <f>IFERROR(VLOOKUP((CONCATENATE(AM106,AX106)),Listados!$U$3:$V$11,2,FALSE),"")</f>
        <v/>
      </c>
      <c r="AZ106" s="111">
        <f t="shared" si="23"/>
        <v>100</v>
      </c>
      <c r="BA106" s="717"/>
      <c r="BB106" s="761"/>
      <c r="BC106" s="142">
        <f>+IF(AND(W106="Preventivo",BB103="Fuerte"),2,IF(AND(W106="Preventivo",BB103="Moderado"),1,0))</f>
        <v>0</v>
      </c>
      <c r="BD106" s="68">
        <f>+IF(AND(W106="Detectivo/Correctivo",$BB103="Fuerte"),2,IF(AND(W106="Detectivo/Correctivo",$BB106="Moderado"),1,IF(AND(W106="Preventivo",$BB103="Fuerte"),1,0)))</f>
        <v>0</v>
      </c>
      <c r="BE106" s="142" t="e">
        <f>+N103-BC106</f>
        <v>#N/A</v>
      </c>
      <c r="BF106" s="142" t="e">
        <f>+P103-BD106</f>
        <v>#N/A</v>
      </c>
      <c r="BG106" s="713"/>
      <c r="BH106" s="713"/>
      <c r="BI106" s="713"/>
      <c r="BJ106" s="803"/>
      <c r="BK106" s="803"/>
      <c r="BL106" s="803"/>
      <c r="BM106" s="803"/>
    </row>
    <row r="107" spans="1:65" ht="65.150000000000006" customHeight="1" thickBot="1">
      <c r="A107" s="724"/>
      <c r="B107" s="812"/>
      <c r="C107" s="730"/>
      <c r="D107" s="116"/>
      <c r="E107" s="116"/>
      <c r="F107" s="814"/>
      <c r="G107" s="736"/>
      <c r="H107" s="105"/>
      <c r="I107" s="161"/>
      <c r="J107" s="105"/>
      <c r="K107" s="29"/>
      <c r="L107" s="150"/>
      <c r="M107" s="727"/>
      <c r="N107" s="720"/>
      <c r="O107" s="810"/>
      <c r="P107" s="720"/>
      <c r="Q107" s="715"/>
      <c r="R107" s="713"/>
      <c r="S107" s="140"/>
      <c r="T107" s="180"/>
      <c r="U107" s="52" t="s">
        <v>467</v>
      </c>
      <c r="V107" s="145"/>
      <c r="W107" s="145"/>
      <c r="X107" s="145"/>
      <c r="Y107" s="99" t="str">
        <f t="shared" si="13"/>
        <v/>
      </c>
      <c r="Z107" s="145"/>
      <c r="AA107" s="99" t="str">
        <f t="shared" si="14"/>
        <v/>
      </c>
      <c r="AB107" s="140"/>
      <c r="AC107" s="99" t="str">
        <f t="shared" si="15"/>
        <v/>
      </c>
      <c r="AD107" s="140"/>
      <c r="AE107" s="99" t="str">
        <f t="shared" si="16"/>
        <v/>
      </c>
      <c r="AF107" s="140"/>
      <c r="AG107" s="99" t="str">
        <f t="shared" si="17"/>
        <v/>
      </c>
      <c r="AH107" s="140"/>
      <c r="AI107" s="99" t="str">
        <f t="shared" si="18"/>
        <v/>
      </c>
      <c r="AJ107" s="140"/>
      <c r="AK107" s="28" t="str">
        <f t="shared" si="19"/>
        <v/>
      </c>
      <c r="AL107" s="111" t="str">
        <f t="shared" si="20"/>
        <v/>
      </c>
      <c r="AM107" s="111" t="str">
        <f t="shared" si="21"/>
        <v/>
      </c>
      <c r="AN107" s="178"/>
      <c r="AO107" s="178"/>
      <c r="AP107" s="178"/>
      <c r="AQ107" s="178"/>
      <c r="AR107" s="178"/>
      <c r="AS107" s="178"/>
      <c r="AT107" s="178"/>
      <c r="AU107" s="179" t="str">
        <f>IFERROR(VLOOKUP(AT107,'Seguridad Información'!$I$61:$J$65,2,0),"")</f>
        <v/>
      </c>
      <c r="AV107" s="83"/>
      <c r="AW107" s="82" t="str">
        <f t="shared" si="12"/>
        <v/>
      </c>
      <c r="AX107" s="81" t="str">
        <f t="shared" si="22"/>
        <v/>
      </c>
      <c r="AY107" s="22" t="str">
        <f>IFERROR(VLOOKUP((CONCATENATE(AM107,AX107)),Listados!$U$3:$V$11,2,FALSE),"")</f>
        <v/>
      </c>
      <c r="AZ107" s="111">
        <f t="shared" si="23"/>
        <v>100</v>
      </c>
      <c r="BA107" s="717"/>
      <c r="BB107" s="761"/>
      <c r="BC107" s="142">
        <f>+IF(AND(W107="Preventivo",BB103="Fuerte"),2,IF(AND(W107="Preventivo",BB103="Moderado"),1,0))</f>
        <v>0</v>
      </c>
      <c r="BD107" s="68">
        <f>+IF(AND(W107="Detectivo/Correctivo",$BB103="Fuerte"),2,IF(AND(W107="Detectivo/Correctivo",$BB107="Moderado"),1,IF(AND(W107="Preventivo",$BB103="Fuerte"),1,0)))</f>
        <v>0</v>
      </c>
      <c r="BE107" s="142" t="e">
        <f>+N103-BC107</f>
        <v>#N/A</v>
      </c>
      <c r="BF107" s="142" t="e">
        <f>+P103-BD107</f>
        <v>#N/A</v>
      </c>
      <c r="BG107" s="713"/>
      <c r="BH107" s="713"/>
      <c r="BI107" s="713"/>
      <c r="BJ107" s="803"/>
      <c r="BK107" s="803"/>
      <c r="BL107" s="803"/>
      <c r="BM107" s="803"/>
    </row>
    <row r="108" spans="1:65" ht="65.150000000000006" customHeight="1" thickBot="1">
      <c r="A108" s="725"/>
      <c r="B108" s="812"/>
      <c r="C108" s="731"/>
      <c r="D108" s="113"/>
      <c r="E108" s="113"/>
      <c r="F108" s="815"/>
      <c r="G108" s="781"/>
      <c r="H108" s="105"/>
      <c r="I108" s="161"/>
      <c r="J108" s="105"/>
      <c r="K108" s="30"/>
      <c r="L108" s="150"/>
      <c r="M108" s="727"/>
      <c r="N108" s="721"/>
      <c r="O108" s="810"/>
      <c r="P108" s="721"/>
      <c r="Q108" s="715"/>
      <c r="R108" s="714"/>
      <c r="S108" s="140"/>
      <c r="T108" s="102"/>
      <c r="U108" s="52" t="s">
        <v>467</v>
      </c>
      <c r="V108" s="145"/>
      <c r="W108" s="145"/>
      <c r="X108" s="145"/>
      <c r="Y108" s="99" t="str">
        <f t="shared" si="13"/>
        <v/>
      </c>
      <c r="Z108" s="145"/>
      <c r="AA108" s="99" t="str">
        <f t="shared" si="14"/>
        <v/>
      </c>
      <c r="AB108" s="140"/>
      <c r="AC108" s="99" t="str">
        <f t="shared" si="15"/>
        <v/>
      </c>
      <c r="AD108" s="140"/>
      <c r="AE108" s="99" t="str">
        <f t="shared" si="16"/>
        <v/>
      </c>
      <c r="AF108" s="140"/>
      <c r="AG108" s="99" t="str">
        <f t="shared" si="17"/>
        <v/>
      </c>
      <c r="AH108" s="140"/>
      <c r="AI108" s="99" t="str">
        <f t="shared" si="18"/>
        <v/>
      </c>
      <c r="AJ108" s="140"/>
      <c r="AK108" s="28" t="str">
        <f t="shared" si="19"/>
        <v/>
      </c>
      <c r="AL108" s="111" t="str">
        <f t="shared" si="20"/>
        <v/>
      </c>
      <c r="AM108" s="111" t="str">
        <f t="shared" si="21"/>
        <v/>
      </c>
      <c r="AN108" s="178"/>
      <c r="AO108" s="178"/>
      <c r="AP108" s="178"/>
      <c r="AQ108" s="178"/>
      <c r="AR108" s="178"/>
      <c r="AS108" s="178"/>
      <c r="AT108" s="178"/>
      <c r="AU108" s="179" t="str">
        <f>IFERROR(VLOOKUP(AT108,'Seguridad Información'!$I$61:$J$65,2,0),"")</f>
        <v/>
      </c>
      <c r="AV108" s="83"/>
      <c r="AW108" s="82" t="str">
        <f t="shared" si="12"/>
        <v/>
      </c>
      <c r="AX108" s="81" t="str">
        <f t="shared" si="22"/>
        <v/>
      </c>
      <c r="AY108" s="22" t="str">
        <f>IFERROR(VLOOKUP((CONCATENATE(AM108,AX108)),Listados!$U$3:$V$11,2,FALSE),"")</f>
        <v/>
      </c>
      <c r="AZ108" s="111">
        <f t="shared" si="23"/>
        <v>100</v>
      </c>
      <c r="BA108" s="718"/>
      <c r="BB108" s="761"/>
      <c r="BC108" s="142">
        <f>+IF(AND(W108="Preventivo",BB103="Fuerte"),2,IF(AND(W108="Preventivo",BB103="Moderado"),1,0))</f>
        <v>0</v>
      </c>
      <c r="BD108" s="68">
        <f>+IF(AND(W108="Detectivo/Correctivo",$BB103="Fuerte"),2,IF(AND(W108="Detectivo/Correctivo",$BB108="Moderado"),1,IF(AND(W108="Preventivo",$BB103="Fuerte"),1,0)))</f>
        <v>0</v>
      </c>
      <c r="BE108" s="142" t="e">
        <f>+N103-BC108</f>
        <v>#N/A</v>
      </c>
      <c r="BF108" s="142" t="e">
        <f>+P103-BD108</f>
        <v>#N/A</v>
      </c>
      <c r="BG108" s="714"/>
      <c r="BH108" s="714"/>
      <c r="BI108" s="714"/>
      <c r="BJ108" s="804"/>
      <c r="BK108" s="804"/>
      <c r="BL108" s="804"/>
      <c r="BM108" s="804"/>
    </row>
    <row r="109" spans="1:65" ht="65.150000000000006" customHeight="1" thickBot="1">
      <c r="A109" s="723">
        <v>18</v>
      </c>
      <c r="B109" s="811"/>
      <c r="C109" s="729" t="str">
        <f>IFERROR(VLOOKUP(B109,Listados!B$3:C$20,2,FALSE),"")</f>
        <v/>
      </c>
      <c r="D109" s="114"/>
      <c r="E109" s="114"/>
      <c r="F109" s="813"/>
      <c r="G109" s="735"/>
      <c r="H109" s="105"/>
      <c r="I109" s="161"/>
      <c r="J109" s="105"/>
      <c r="K109" s="109"/>
      <c r="L109" s="18"/>
      <c r="M109" s="762"/>
      <c r="N109" s="719" t="e">
        <f>+VLOOKUP(M109,Listados!$K$8:$L$12,2,0)</f>
        <v>#N/A</v>
      </c>
      <c r="O109" s="809"/>
      <c r="P109" s="719" t="e">
        <f>+VLOOKUP(O109,Listados!$K$13:$L$17,2,0)</f>
        <v>#N/A</v>
      </c>
      <c r="Q109" s="714" t="str">
        <f>IF(AND(M109&lt;&gt;"",O109&lt;&gt;""),VLOOKUP(M109&amp;O109,Listados!$M$3:$N$27,2,FALSE),"")</f>
        <v/>
      </c>
      <c r="R109" s="712" t="e">
        <f>+VLOOKUP(Q109,Listados!$P$3:$Q$6,2,FALSE)</f>
        <v>#N/A</v>
      </c>
      <c r="S109" s="140"/>
      <c r="T109" s="98"/>
      <c r="U109" s="52" t="s">
        <v>467</v>
      </c>
      <c r="V109" s="145"/>
      <c r="W109" s="145"/>
      <c r="X109" s="145"/>
      <c r="Y109" s="99" t="str">
        <f t="shared" si="13"/>
        <v/>
      </c>
      <c r="Z109" s="145"/>
      <c r="AA109" s="99" t="str">
        <f t="shared" si="14"/>
        <v/>
      </c>
      <c r="AB109" s="140"/>
      <c r="AC109" s="99" t="str">
        <f t="shared" si="15"/>
        <v/>
      </c>
      <c r="AD109" s="140"/>
      <c r="AE109" s="99" t="str">
        <f t="shared" si="16"/>
        <v/>
      </c>
      <c r="AF109" s="140"/>
      <c r="AG109" s="99" t="str">
        <f t="shared" si="17"/>
        <v/>
      </c>
      <c r="AH109" s="140"/>
      <c r="AI109" s="99" t="str">
        <f t="shared" si="18"/>
        <v/>
      </c>
      <c r="AJ109" s="140"/>
      <c r="AK109" s="28" t="str">
        <f t="shared" si="19"/>
        <v/>
      </c>
      <c r="AL109" s="111" t="str">
        <f t="shared" si="20"/>
        <v/>
      </c>
      <c r="AM109" s="111" t="str">
        <f t="shared" si="21"/>
        <v/>
      </c>
      <c r="AN109" s="178"/>
      <c r="AO109" s="178"/>
      <c r="AP109" s="178"/>
      <c r="AQ109" s="178"/>
      <c r="AR109" s="178"/>
      <c r="AS109" s="178"/>
      <c r="AT109" s="178"/>
      <c r="AU109" s="179" t="str">
        <f>IFERROR(VLOOKUP(AT109,'Seguridad Información'!$I$61:$J$65,2,0),"")</f>
        <v/>
      </c>
      <c r="AV109" s="83"/>
      <c r="AW109" s="82" t="str">
        <f t="shared" si="12"/>
        <v/>
      </c>
      <c r="AX109" s="81" t="str">
        <f t="shared" si="22"/>
        <v/>
      </c>
      <c r="AY109" s="22" t="str">
        <f>IFERROR(VLOOKUP((CONCATENATE(AM109,AX109)),Listados!$U$3:$V$11,2,FALSE),"")</f>
        <v/>
      </c>
      <c r="AZ109" s="111">
        <f t="shared" si="23"/>
        <v>100</v>
      </c>
      <c r="BA109" s="716">
        <f>AVERAGE(AZ109:AZ114)</f>
        <v>100</v>
      </c>
      <c r="BB109" s="718" t="str">
        <f>IF(BA109&lt;=50, "Débil", IF(BA109&lt;=99,"Moderado","Fuerte"))</f>
        <v>Fuerte</v>
      </c>
      <c r="BC109" s="142">
        <f>+IF(AND(W109="Preventivo",BB109="Fuerte"),2,IF(AND(W109="Preventivo",BB109="Moderado"),1,0))</f>
        <v>0</v>
      </c>
      <c r="BD109" s="68">
        <f>+IF(AND(W109="Detectivo/Correctivo",$BB109="Fuerte"),2,IF(AND(W109="Detectivo/Correctivo",$BB109="Moderado"),1,IF(AND(W109="Preventivo",$BB109="Fuerte"),1,0)))</f>
        <v>0</v>
      </c>
      <c r="BE109" s="142" t="e">
        <f>+N109-BC109</f>
        <v>#N/A</v>
      </c>
      <c r="BF109" s="142" t="e">
        <f>+P109-BD109</f>
        <v>#N/A</v>
      </c>
      <c r="BG109" s="712" t="e">
        <f>+VLOOKUP(MIN(BE109,BE110,BE111,BE112,BE113,BE114),Listados!$J$18:$K$24,2,TRUE)</f>
        <v>#N/A</v>
      </c>
      <c r="BH109" s="712" t="e">
        <f>+VLOOKUP(MIN(BF109,BF110,BF111,BF112,BF113,BF114),Listados!$J$27:$K$32,2,TRUE)</f>
        <v>#N/A</v>
      </c>
      <c r="BI109" s="712" t="e">
        <f>IF(AND(BG109&lt;&gt;"",BH109&lt;&gt;""),VLOOKUP(BG109&amp;BH109,Listados!$M$3:$N$27,2,FALSE),"")</f>
        <v>#N/A</v>
      </c>
      <c r="BJ109" s="802" t="e">
        <f>+IF($R109="Asumir el riesgo","NA","")</f>
        <v>#N/A</v>
      </c>
      <c r="BK109" s="802" t="e">
        <f>+IF($R109="Asumir el riesgo","NA","")</f>
        <v>#N/A</v>
      </c>
      <c r="BL109" s="802" t="e">
        <f>+IF($R109="Asumir el riesgo","NA","")</f>
        <v>#N/A</v>
      </c>
      <c r="BM109" s="802" t="e">
        <f>+IF($R109="Asumir el riesgo","NA","")</f>
        <v>#N/A</v>
      </c>
    </row>
    <row r="110" spans="1:65" ht="65.150000000000006" customHeight="1" thickBot="1">
      <c r="A110" s="724"/>
      <c r="B110" s="812"/>
      <c r="C110" s="730"/>
      <c r="D110" s="158"/>
      <c r="E110" s="158"/>
      <c r="F110" s="814"/>
      <c r="G110" s="736"/>
      <c r="H110" s="105"/>
      <c r="I110" s="161"/>
      <c r="J110" s="105"/>
      <c r="K110" s="160"/>
      <c r="L110" s="150"/>
      <c r="M110" s="727"/>
      <c r="N110" s="720"/>
      <c r="O110" s="810"/>
      <c r="P110" s="720"/>
      <c r="Q110" s="715"/>
      <c r="R110" s="713"/>
      <c r="S110" s="140"/>
      <c r="T110" s="180"/>
      <c r="U110" s="52" t="s">
        <v>467</v>
      </c>
      <c r="V110" s="145"/>
      <c r="W110" s="145"/>
      <c r="X110" s="145"/>
      <c r="Y110" s="99" t="str">
        <f t="shared" si="13"/>
        <v/>
      </c>
      <c r="Z110" s="145"/>
      <c r="AA110" s="99" t="str">
        <f t="shared" si="14"/>
        <v/>
      </c>
      <c r="AB110" s="140"/>
      <c r="AC110" s="99" t="str">
        <f t="shared" si="15"/>
        <v/>
      </c>
      <c r="AD110" s="140"/>
      <c r="AE110" s="99" t="str">
        <f t="shared" si="16"/>
        <v/>
      </c>
      <c r="AF110" s="140"/>
      <c r="AG110" s="99" t="str">
        <f t="shared" si="17"/>
        <v/>
      </c>
      <c r="AH110" s="140"/>
      <c r="AI110" s="99" t="str">
        <f t="shared" si="18"/>
        <v/>
      </c>
      <c r="AJ110" s="140"/>
      <c r="AK110" s="28" t="str">
        <f t="shared" si="19"/>
        <v/>
      </c>
      <c r="AL110" s="111" t="str">
        <f t="shared" si="20"/>
        <v/>
      </c>
      <c r="AM110" s="111" t="str">
        <f t="shared" si="21"/>
        <v/>
      </c>
      <c r="AN110" s="178"/>
      <c r="AO110" s="178"/>
      <c r="AP110" s="178"/>
      <c r="AQ110" s="178"/>
      <c r="AR110" s="178"/>
      <c r="AS110" s="178"/>
      <c r="AT110" s="178"/>
      <c r="AU110" s="179" t="str">
        <f>IFERROR(VLOOKUP(AT110,'Seguridad Información'!$I$61:$J$65,2,0),"")</f>
        <v/>
      </c>
      <c r="AV110" s="83"/>
      <c r="AW110" s="82" t="str">
        <f t="shared" si="12"/>
        <v/>
      </c>
      <c r="AX110" s="81" t="str">
        <f t="shared" si="22"/>
        <v/>
      </c>
      <c r="AY110" s="22" t="str">
        <f>IFERROR(VLOOKUP((CONCATENATE(AM110,AX110)),Listados!$U$3:$V$11,2,FALSE),"")</f>
        <v/>
      </c>
      <c r="AZ110" s="111">
        <f t="shared" si="23"/>
        <v>100</v>
      </c>
      <c r="BA110" s="717"/>
      <c r="BB110" s="761"/>
      <c r="BC110" s="142">
        <f>+IF(AND(W110="Preventivo",BB109="Fuerte"),2,IF(AND(W110="Preventivo",BB109="Moderado"),1,0))</f>
        <v>0</v>
      </c>
      <c r="BD110" s="68">
        <f>+IF(AND(W110="Detectivo/Correctivo",$BB109="Fuerte"),2,IF(AND(W110="Detectivo/Correctivo",$BB110="Moderado"),1,IF(AND(W110="Preventivo",$BB109="Fuerte"),1,0)))</f>
        <v>0</v>
      </c>
      <c r="BE110" s="142" t="e">
        <f>+N109-BC110</f>
        <v>#N/A</v>
      </c>
      <c r="BF110" s="142" t="e">
        <f>+P109-BD110</f>
        <v>#N/A</v>
      </c>
      <c r="BG110" s="713"/>
      <c r="BH110" s="713"/>
      <c r="BI110" s="713"/>
      <c r="BJ110" s="803"/>
      <c r="BK110" s="803"/>
      <c r="BL110" s="803"/>
      <c r="BM110" s="803"/>
    </row>
    <row r="111" spans="1:65" ht="65.150000000000006" customHeight="1" thickBot="1">
      <c r="A111" s="724"/>
      <c r="B111" s="812"/>
      <c r="C111" s="730"/>
      <c r="D111" s="158"/>
      <c r="E111" s="158"/>
      <c r="F111" s="814"/>
      <c r="G111" s="736"/>
      <c r="H111" s="105"/>
      <c r="I111" s="161"/>
      <c r="J111" s="105"/>
      <c r="K111" s="160"/>
      <c r="L111" s="150"/>
      <c r="M111" s="727"/>
      <c r="N111" s="720"/>
      <c r="O111" s="810"/>
      <c r="P111" s="720"/>
      <c r="Q111" s="715"/>
      <c r="R111" s="713"/>
      <c r="S111" s="140"/>
      <c r="T111" s="100"/>
      <c r="U111" s="52" t="s">
        <v>467</v>
      </c>
      <c r="V111" s="145"/>
      <c r="W111" s="145"/>
      <c r="X111" s="145"/>
      <c r="Y111" s="99" t="str">
        <f t="shared" si="13"/>
        <v/>
      </c>
      <c r="Z111" s="145"/>
      <c r="AA111" s="99" t="str">
        <f t="shared" si="14"/>
        <v/>
      </c>
      <c r="AB111" s="140"/>
      <c r="AC111" s="99" t="str">
        <f t="shared" si="15"/>
        <v/>
      </c>
      <c r="AD111" s="140"/>
      <c r="AE111" s="99" t="str">
        <f t="shared" si="16"/>
        <v/>
      </c>
      <c r="AF111" s="140"/>
      <c r="AG111" s="99" t="str">
        <f t="shared" si="17"/>
        <v/>
      </c>
      <c r="AH111" s="140"/>
      <c r="AI111" s="99" t="str">
        <f t="shared" si="18"/>
        <v/>
      </c>
      <c r="AJ111" s="140"/>
      <c r="AK111" s="28" t="str">
        <f t="shared" si="19"/>
        <v/>
      </c>
      <c r="AL111" s="111" t="str">
        <f t="shared" si="20"/>
        <v/>
      </c>
      <c r="AM111" s="111" t="str">
        <f t="shared" si="21"/>
        <v/>
      </c>
      <c r="AN111" s="178"/>
      <c r="AO111" s="178"/>
      <c r="AP111" s="178"/>
      <c r="AQ111" s="178"/>
      <c r="AR111" s="178"/>
      <c r="AS111" s="178"/>
      <c r="AT111" s="178"/>
      <c r="AU111" s="179" t="str">
        <f>IFERROR(VLOOKUP(AT111,'Seguridad Información'!$I$61:$J$65,2,0),"")</f>
        <v/>
      </c>
      <c r="AV111" s="83"/>
      <c r="AW111" s="82" t="str">
        <f t="shared" si="12"/>
        <v/>
      </c>
      <c r="AX111" s="81" t="str">
        <f t="shared" si="22"/>
        <v/>
      </c>
      <c r="AY111" s="22" t="str">
        <f>IFERROR(VLOOKUP((CONCATENATE(AM111,AX111)),Listados!$U$3:$V$11,2,FALSE),"")</f>
        <v/>
      </c>
      <c r="AZ111" s="111">
        <f t="shared" si="23"/>
        <v>100</v>
      </c>
      <c r="BA111" s="717"/>
      <c r="BB111" s="761"/>
      <c r="BC111" s="142">
        <f>+IF(AND(W111="Preventivo",BB109="Fuerte"),2,IF(AND(W111="Preventivo",BB109="Moderado"),1,0))</f>
        <v>0</v>
      </c>
      <c r="BD111" s="68">
        <f>+IF(AND(W111="Detectivo/Correctivo",$BB109="Fuerte"),2,IF(AND(W111="Detectivo/Correctivo",$BB111="Moderado"),1,IF(AND(W111="Preventivo",$BB109="Fuerte"),1,0)))</f>
        <v>0</v>
      </c>
      <c r="BE111" s="142" t="e">
        <f>+N109-BC111</f>
        <v>#N/A</v>
      </c>
      <c r="BF111" s="142" t="e">
        <f>+P109-BD111</f>
        <v>#N/A</v>
      </c>
      <c r="BG111" s="713"/>
      <c r="BH111" s="713"/>
      <c r="BI111" s="713"/>
      <c r="BJ111" s="803"/>
      <c r="BK111" s="803"/>
      <c r="BL111" s="803"/>
      <c r="BM111" s="803"/>
    </row>
    <row r="112" spans="1:65" ht="65.150000000000006" customHeight="1" thickBot="1">
      <c r="A112" s="724"/>
      <c r="B112" s="812"/>
      <c r="C112" s="730"/>
      <c r="D112" s="158"/>
      <c r="E112" s="158"/>
      <c r="F112" s="814"/>
      <c r="G112" s="736"/>
      <c r="H112" s="105"/>
      <c r="I112" s="161"/>
      <c r="J112" s="105"/>
      <c r="K112" s="160"/>
      <c r="L112" s="150"/>
      <c r="M112" s="727"/>
      <c r="N112" s="720"/>
      <c r="O112" s="810"/>
      <c r="P112" s="720"/>
      <c r="Q112" s="715"/>
      <c r="R112" s="713"/>
      <c r="S112" s="140"/>
      <c r="T112" s="101"/>
      <c r="U112" s="52" t="s">
        <v>467</v>
      </c>
      <c r="V112" s="145"/>
      <c r="W112" s="145"/>
      <c r="X112" s="145"/>
      <c r="Y112" s="99" t="str">
        <f t="shared" si="13"/>
        <v/>
      </c>
      <c r="Z112" s="145"/>
      <c r="AA112" s="99" t="str">
        <f t="shared" si="14"/>
        <v/>
      </c>
      <c r="AB112" s="140"/>
      <c r="AC112" s="99" t="str">
        <f t="shared" si="15"/>
        <v/>
      </c>
      <c r="AD112" s="140"/>
      <c r="AE112" s="99" t="str">
        <f t="shared" si="16"/>
        <v/>
      </c>
      <c r="AF112" s="140"/>
      <c r="AG112" s="99" t="str">
        <f t="shared" si="17"/>
        <v/>
      </c>
      <c r="AH112" s="140"/>
      <c r="AI112" s="99" t="str">
        <f t="shared" si="18"/>
        <v/>
      </c>
      <c r="AJ112" s="140"/>
      <c r="AK112" s="28" t="str">
        <f t="shared" si="19"/>
        <v/>
      </c>
      <c r="AL112" s="111" t="str">
        <f t="shared" si="20"/>
        <v/>
      </c>
      <c r="AM112" s="111" t="str">
        <f t="shared" si="21"/>
        <v/>
      </c>
      <c r="AN112" s="178"/>
      <c r="AO112" s="178"/>
      <c r="AP112" s="178"/>
      <c r="AQ112" s="178"/>
      <c r="AR112" s="178"/>
      <c r="AS112" s="178"/>
      <c r="AT112" s="178"/>
      <c r="AU112" s="179" t="str">
        <f>IFERROR(VLOOKUP(AT112,'Seguridad Información'!$I$61:$J$65,2,0),"")</f>
        <v/>
      </c>
      <c r="AV112" s="83"/>
      <c r="AW112" s="82" t="str">
        <f t="shared" si="12"/>
        <v/>
      </c>
      <c r="AX112" s="81" t="str">
        <f t="shared" si="22"/>
        <v/>
      </c>
      <c r="AY112" s="22" t="str">
        <f>IFERROR(VLOOKUP((CONCATENATE(AM112,AX112)),Listados!$U$3:$V$11,2,FALSE),"")</f>
        <v/>
      </c>
      <c r="AZ112" s="111">
        <f t="shared" si="23"/>
        <v>100</v>
      </c>
      <c r="BA112" s="717"/>
      <c r="BB112" s="761"/>
      <c r="BC112" s="142">
        <f>+IF(AND(W112="Preventivo",BB109="Fuerte"),2,IF(AND(W112="Preventivo",BB109="Moderado"),1,0))</f>
        <v>0</v>
      </c>
      <c r="BD112" s="68">
        <f>+IF(AND(W112="Detectivo/Correctivo",$BB109="Fuerte"),2,IF(AND(W112="Detectivo/Correctivo",$BB112="Moderado"),1,IF(AND(W112="Preventivo",$BB109="Fuerte"),1,0)))</f>
        <v>0</v>
      </c>
      <c r="BE112" s="142" t="e">
        <f>+N109-BC112</f>
        <v>#N/A</v>
      </c>
      <c r="BF112" s="142" t="e">
        <f>+P109-BD112</f>
        <v>#N/A</v>
      </c>
      <c r="BG112" s="713"/>
      <c r="BH112" s="713"/>
      <c r="BI112" s="713"/>
      <c r="BJ112" s="803"/>
      <c r="BK112" s="803"/>
      <c r="BL112" s="803"/>
      <c r="BM112" s="803"/>
    </row>
    <row r="113" spans="1:65" ht="65.150000000000006" customHeight="1" thickBot="1">
      <c r="A113" s="724"/>
      <c r="B113" s="812"/>
      <c r="C113" s="730"/>
      <c r="D113" s="116"/>
      <c r="E113" s="116"/>
      <c r="F113" s="814"/>
      <c r="G113" s="736"/>
      <c r="H113" s="105"/>
      <c r="I113" s="161"/>
      <c r="J113" s="105"/>
      <c r="K113" s="29"/>
      <c r="L113" s="150"/>
      <c r="M113" s="727"/>
      <c r="N113" s="720"/>
      <c r="O113" s="810"/>
      <c r="P113" s="720"/>
      <c r="Q113" s="715"/>
      <c r="R113" s="713"/>
      <c r="S113" s="140"/>
      <c r="T113" s="180"/>
      <c r="U113" s="52" t="s">
        <v>467</v>
      </c>
      <c r="V113" s="145"/>
      <c r="W113" s="145"/>
      <c r="X113" s="145"/>
      <c r="Y113" s="99" t="str">
        <f t="shared" si="13"/>
        <v/>
      </c>
      <c r="Z113" s="145"/>
      <c r="AA113" s="99" t="str">
        <f t="shared" si="14"/>
        <v/>
      </c>
      <c r="AB113" s="140"/>
      <c r="AC113" s="99" t="str">
        <f t="shared" si="15"/>
        <v/>
      </c>
      <c r="AD113" s="140"/>
      <c r="AE113" s="99" t="str">
        <f t="shared" si="16"/>
        <v/>
      </c>
      <c r="AF113" s="140"/>
      <c r="AG113" s="99" t="str">
        <f t="shared" si="17"/>
        <v/>
      </c>
      <c r="AH113" s="140"/>
      <c r="AI113" s="99" t="str">
        <f t="shared" si="18"/>
        <v/>
      </c>
      <c r="AJ113" s="140"/>
      <c r="AK113" s="28" t="str">
        <f t="shared" si="19"/>
        <v/>
      </c>
      <c r="AL113" s="111" t="str">
        <f t="shared" si="20"/>
        <v/>
      </c>
      <c r="AM113" s="111" t="str">
        <f t="shared" si="21"/>
        <v/>
      </c>
      <c r="AN113" s="178"/>
      <c r="AO113" s="178"/>
      <c r="AP113" s="178"/>
      <c r="AQ113" s="178"/>
      <c r="AR113" s="178"/>
      <c r="AS113" s="178"/>
      <c r="AT113" s="178"/>
      <c r="AU113" s="179" t="str">
        <f>IFERROR(VLOOKUP(AT113,'Seguridad Información'!$I$61:$J$65,2,0),"")</f>
        <v/>
      </c>
      <c r="AV113" s="83"/>
      <c r="AW113" s="82" t="str">
        <f t="shared" si="12"/>
        <v/>
      </c>
      <c r="AX113" s="81" t="str">
        <f t="shared" si="22"/>
        <v/>
      </c>
      <c r="AY113" s="22" t="str">
        <f>IFERROR(VLOOKUP((CONCATENATE(AM113,AX113)),Listados!$U$3:$V$11,2,FALSE),"")</f>
        <v/>
      </c>
      <c r="AZ113" s="111">
        <f t="shared" si="23"/>
        <v>100</v>
      </c>
      <c r="BA113" s="717"/>
      <c r="BB113" s="761"/>
      <c r="BC113" s="142">
        <f>+IF(AND(W113="Preventivo",BB109="Fuerte"),2,IF(AND(W113="Preventivo",BB109="Moderado"),1,0))</f>
        <v>0</v>
      </c>
      <c r="BD113" s="68">
        <f>+IF(AND(W113="Detectivo/Correctivo",$BB109="Fuerte"),2,IF(AND(W113="Detectivo/Correctivo",$BB113="Moderado"),1,IF(AND(W113="Preventivo",$BB109="Fuerte"),1,0)))</f>
        <v>0</v>
      </c>
      <c r="BE113" s="142" t="e">
        <f>+N109-BC113</f>
        <v>#N/A</v>
      </c>
      <c r="BF113" s="142" t="e">
        <f>+P109-BD113</f>
        <v>#N/A</v>
      </c>
      <c r="BG113" s="713"/>
      <c r="BH113" s="713"/>
      <c r="BI113" s="713"/>
      <c r="BJ113" s="803"/>
      <c r="BK113" s="803"/>
      <c r="BL113" s="803"/>
      <c r="BM113" s="803"/>
    </row>
    <row r="114" spans="1:65" ht="65.150000000000006" customHeight="1" thickBot="1">
      <c r="A114" s="725"/>
      <c r="B114" s="812"/>
      <c r="C114" s="731"/>
      <c r="D114" s="113"/>
      <c r="E114" s="113"/>
      <c r="F114" s="815"/>
      <c r="G114" s="781"/>
      <c r="H114" s="105"/>
      <c r="I114" s="161"/>
      <c r="J114" s="105"/>
      <c r="K114" s="30"/>
      <c r="L114" s="150"/>
      <c r="M114" s="727"/>
      <c r="N114" s="721"/>
      <c r="O114" s="810"/>
      <c r="P114" s="721"/>
      <c r="Q114" s="715"/>
      <c r="R114" s="714"/>
      <c r="S114" s="140"/>
      <c r="T114" s="102"/>
      <c r="U114" s="52" t="s">
        <v>467</v>
      </c>
      <c r="V114" s="145"/>
      <c r="W114" s="145"/>
      <c r="X114" s="145"/>
      <c r="Y114" s="99" t="str">
        <f t="shared" si="13"/>
        <v/>
      </c>
      <c r="Z114" s="145"/>
      <c r="AA114" s="99" t="str">
        <f t="shared" si="14"/>
        <v/>
      </c>
      <c r="AB114" s="140"/>
      <c r="AC114" s="99" t="str">
        <f t="shared" si="15"/>
        <v/>
      </c>
      <c r="AD114" s="140"/>
      <c r="AE114" s="99" t="str">
        <f t="shared" si="16"/>
        <v/>
      </c>
      <c r="AF114" s="140"/>
      <c r="AG114" s="99" t="str">
        <f t="shared" si="17"/>
        <v/>
      </c>
      <c r="AH114" s="140"/>
      <c r="AI114" s="99" t="str">
        <f t="shared" si="18"/>
        <v/>
      </c>
      <c r="AJ114" s="140"/>
      <c r="AK114" s="28" t="str">
        <f t="shared" si="19"/>
        <v/>
      </c>
      <c r="AL114" s="111" t="str">
        <f t="shared" si="20"/>
        <v/>
      </c>
      <c r="AM114" s="111" t="str">
        <f t="shared" si="21"/>
        <v/>
      </c>
      <c r="AN114" s="178"/>
      <c r="AO114" s="178"/>
      <c r="AP114" s="178"/>
      <c r="AQ114" s="178"/>
      <c r="AR114" s="178"/>
      <c r="AS114" s="178"/>
      <c r="AT114" s="178"/>
      <c r="AU114" s="179" t="str">
        <f>IFERROR(VLOOKUP(AT114,'Seguridad Información'!$I$61:$J$65,2,0),"")</f>
        <v/>
      </c>
      <c r="AV114" s="83"/>
      <c r="AW114" s="82" t="str">
        <f t="shared" si="12"/>
        <v/>
      </c>
      <c r="AX114" s="81" t="str">
        <f t="shared" si="22"/>
        <v/>
      </c>
      <c r="AY114" s="22" t="str">
        <f>IFERROR(VLOOKUP((CONCATENATE(AM114,AX114)),Listados!$U$3:$V$11,2,FALSE),"")</f>
        <v/>
      </c>
      <c r="AZ114" s="111">
        <f t="shared" si="23"/>
        <v>100</v>
      </c>
      <c r="BA114" s="718"/>
      <c r="BB114" s="761"/>
      <c r="BC114" s="142">
        <f>+IF(AND(W114="Preventivo",BB109="Fuerte"),2,IF(AND(W114="Preventivo",BB109="Moderado"),1,0))</f>
        <v>0</v>
      </c>
      <c r="BD114" s="68">
        <f>+IF(AND(W114="Detectivo/Correctivo",$BB109="Fuerte"),2,IF(AND(W114="Detectivo/Correctivo",$BB114="Moderado"),1,IF(AND(W114="Preventivo",$BB109="Fuerte"),1,0)))</f>
        <v>0</v>
      </c>
      <c r="BE114" s="142" t="e">
        <f>+N109-BC114</f>
        <v>#N/A</v>
      </c>
      <c r="BF114" s="142" t="e">
        <f>+P109-BD114</f>
        <v>#N/A</v>
      </c>
      <c r="BG114" s="714"/>
      <c r="BH114" s="714"/>
      <c r="BI114" s="714"/>
      <c r="BJ114" s="804"/>
      <c r="BK114" s="804"/>
      <c r="BL114" s="804"/>
      <c r="BM114" s="804"/>
    </row>
    <row r="115" spans="1:65" ht="65.150000000000006" customHeight="1" thickBot="1">
      <c r="A115" s="723">
        <v>19</v>
      </c>
      <c r="B115" s="811"/>
      <c r="C115" s="729" t="str">
        <f>IFERROR(VLOOKUP(B115,Listados!B$3:C$20,2,FALSE),"")</f>
        <v/>
      </c>
      <c r="D115" s="114"/>
      <c r="E115" s="114"/>
      <c r="F115" s="813"/>
      <c r="G115" s="735"/>
      <c r="H115" s="105"/>
      <c r="I115" s="161"/>
      <c r="J115" s="105"/>
      <c r="K115" s="109"/>
      <c r="L115" s="18"/>
      <c r="M115" s="762"/>
      <c r="N115" s="719" t="e">
        <f>+VLOOKUP(M115,Listados!$K$8:$L$12,2,0)</f>
        <v>#N/A</v>
      </c>
      <c r="O115" s="809"/>
      <c r="P115" s="719" t="e">
        <f>+VLOOKUP(O115,Listados!$K$13:$L$17,2,0)</f>
        <v>#N/A</v>
      </c>
      <c r="Q115" s="714" t="str">
        <f>IF(AND(M115&lt;&gt;"",O115&lt;&gt;""),VLOOKUP(M115&amp;O115,Listados!$M$3:$N$27,2,FALSE),"")</f>
        <v/>
      </c>
      <c r="R115" s="712" t="e">
        <f>+VLOOKUP(Q115,Listados!$P$3:$Q$6,2,FALSE)</f>
        <v>#N/A</v>
      </c>
      <c r="S115" s="140"/>
      <c r="T115" s="98"/>
      <c r="U115" s="52" t="s">
        <v>467</v>
      </c>
      <c r="V115" s="145"/>
      <c r="W115" s="145"/>
      <c r="X115" s="145"/>
      <c r="Y115" s="99" t="str">
        <f t="shared" si="13"/>
        <v/>
      </c>
      <c r="Z115" s="145"/>
      <c r="AA115" s="99" t="str">
        <f t="shared" si="14"/>
        <v/>
      </c>
      <c r="AB115" s="140"/>
      <c r="AC115" s="99" t="str">
        <f t="shared" si="15"/>
        <v/>
      </c>
      <c r="AD115" s="140"/>
      <c r="AE115" s="99" t="str">
        <f t="shared" si="16"/>
        <v/>
      </c>
      <c r="AF115" s="140"/>
      <c r="AG115" s="99" t="str">
        <f t="shared" si="17"/>
        <v/>
      </c>
      <c r="AH115" s="140"/>
      <c r="AI115" s="99" t="str">
        <f t="shared" si="18"/>
        <v/>
      </c>
      <c r="AJ115" s="140"/>
      <c r="AK115" s="28" t="str">
        <f t="shared" si="19"/>
        <v/>
      </c>
      <c r="AL115" s="111" t="str">
        <f t="shared" si="20"/>
        <v/>
      </c>
      <c r="AM115" s="111" t="str">
        <f t="shared" si="21"/>
        <v/>
      </c>
      <c r="AN115" s="178"/>
      <c r="AO115" s="178"/>
      <c r="AP115" s="178"/>
      <c r="AQ115" s="178"/>
      <c r="AR115" s="178"/>
      <c r="AS115" s="178"/>
      <c r="AT115" s="178"/>
      <c r="AU115" s="179" t="str">
        <f>IFERROR(VLOOKUP(AT115,'Seguridad Información'!$I$61:$J$65,2,0),"")</f>
        <v/>
      </c>
      <c r="AV115" s="83"/>
      <c r="AW115" s="82" t="str">
        <f t="shared" si="12"/>
        <v/>
      </c>
      <c r="AX115" s="81" t="str">
        <f t="shared" si="22"/>
        <v/>
      </c>
      <c r="AY115" s="22" t="str">
        <f>IFERROR(VLOOKUP((CONCATENATE(AM115,AX115)),Listados!$U$3:$V$11,2,FALSE),"")</f>
        <v/>
      </c>
      <c r="AZ115" s="111">
        <f t="shared" si="23"/>
        <v>100</v>
      </c>
      <c r="BA115" s="716">
        <f>AVERAGE(AZ115:AZ120)</f>
        <v>100</v>
      </c>
      <c r="BB115" s="718" t="str">
        <f>IF(BA115&lt;=50, "Débil", IF(BA115&lt;=99,"Moderado","Fuerte"))</f>
        <v>Fuerte</v>
      </c>
      <c r="BC115" s="142">
        <f>+IF(AND(W115="Preventivo",BB115="Fuerte"),2,IF(AND(W115="Preventivo",BB115="Moderado"),1,0))</f>
        <v>0</v>
      </c>
      <c r="BD115" s="68">
        <f>+IF(AND(W115="Detectivo/Correctivo",$BB115="Fuerte"),2,IF(AND(W115="Detectivo/Correctivo",$BB115="Moderado"),1,IF(AND(W115="Preventivo",$BB115="Fuerte"),1,0)))</f>
        <v>0</v>
      </c>
      <c r="BE115" s="142" t="e">
        <f>+N115-BC115</f>
        <v>#N/A</v>
      </c>
      <c r="BF115" s="142" t="e">
        <f>+P115-BD115</f>
        <v>#N/A</v>
      </c>
      <c r="BG115" s="712" t="e">
        <f>+VLOOKUP(MIN(BE115,BE116,BE117,BE118,BE119,BE120),Listados!$J$18:$K$24,2,TRUE)</f>
        <v>#N/A</v>
      </c>
      <c r="BH115" s="712" t="e">
        <f>+VLOOKUP(MIN(BF115,BF116,BF117,BF118,BF119,BF120),Listados!$J$27:$K$32,2,TRUE)</f>
        <v>#N/A</v>
      </c>
      <c r="BI115" s="712" t="e">
        <f>IF(AND(BG115&lt;&gt;"",BH115&lt;&gt;""),VLOOKUP(BG115&amp;BH115,Listados!$M$3:$N$27,2,FALSE),"")</f>
        <v>#N/A</v>
      </c>
      <c r="BJ115" s="802" t="e">
        <f>+IF($R115="Asumir el riesgo","NA","")</f>
        <v>#N/A</v>
      </c>
      <c r="BK115" s="802" t="e">
        <f>+IF($R115="Asumir el riesgo","NA","")</f>
        <v>#N/A</v>
      </c>
      <c r="BL115" s="802" t="e">
        <f>+IF($R115="Asumir el riesgo","NA","")</f>
        <v>#N/A</v>
      </c>
      <c r="BM115" s="802" t="e">
        <f>+IF($R115="Asumir el riesgo","NA","")</f>
        <v>#N/A</v>
      </c>
    </row>
    <row r="116" spans="1:65" ht="65.150000000000006" customHeight="1" thickBot="1">
      <c r="A116" s="724"/>
      <c r="B116" s="812"/>
      <c r="C116" s="730"/>
      <c r="D116" s="158"/>
      <c r="E116" s="158"/>
      <c r="F116" s="814"/>
      <c r="G116" s="736"/>
      <c r="H116" s="105"/>
      <c r="I116" s="161"/>
      <c r="J116" s="105"/>
      <c r="K116" s="160"/>
      <c r="L116" s="150"/>
      <c r="M116" s="727"/>
      <c r="N116" s="720"/>
      <c r="O116" s="810"/>
      <c r="P116" s="720"/>
      <c r="Q116" s="715"/>
      <c r="R116" s="713"/>
      <c r="S116" s="140"/>
      <c r="T116" s="180"/>
      <c r="U116" s="52" t="s">
        <v>467</v>
      </c>
      <c r="V116" s="145"/>
      <c r="W116" s="145"/>
      <c r="X116" s="145"/>
      <c r="Y116" s="99" t="str">
        <f t="shared" si="13"/>
        <v/>
      </c>
      <c r="Z116" s="145"/>
      <c r="AA116" s="99" t="str">
        <f t="shared" si="14"/>
        <v/>
      </c>
      <c r="AB116" s="140"/>
      <c r="AC116" s="99" t="str">
        <f t="shared" si="15"/>
        <v/>
      </c>
      <c r="AD116" s="140"/>
      <c r="AE116" s="99" t="str">
        <f t="shared" si="16"/>
        <v/>
      </c>
      <c r="AF116" s="140"/>
      <c r="AG116" s="99" t="str">
        <f t="shared" si="17"/>
        <v/>
      </c>
      <c r="AH116" s="140"/>
      <c r="AI116" s="99" t="str">
        <f t="shared" si="18"/>
        <v/>
      </c>
      <c r="AJ116" s="140"/>
      <c r="AK116" s="28" t="str">
        <f t="shared" si="19"/>
        <v/>
      </c>
      <c r="AL116" s="111" t="str">
        <f t="shared" si="20"/>
        <v/>
      </c>
      <c r="AM116" s="111" t="str">
        <f t="shared" si="21"/>
        <v/>
      </c>
      <c r="AN116" s="178"/>
      <c r="AO116" s="178"/>
      <c r="AP116" s="178"/>
      <c r="AQ116" s="178"/>
      <c r="AR116" s="178"/>
      <c r="AS116" s="178"/>
      <c r="AT116" s="178"/>
      <c r="AU116" s="179" t="str">
        <f>IFERROR(VLOOKUP(AT116,'Seguridad Información'!$I$61:$J$65,2,0),"")</f>
        <v/>
      </c>
      <c r="AV116" s="83"/>
      <c r="AW116" s="82" t="str">
        <f t="shared" si="12"/>
        <v/>
      </c>
      <c r="AX116" s="81" t="str">
        <f t="shared" si="22"/>
        <v/>
      </c>
      <c r="AY116" s="22" t="str">
        <f>IFERROR(VLOOKUP((CONCATENATE(AM116,AX116)),Listados!$U$3:$V$11,2,FALSE),"")</f>
        <v/>
      </c>
      <c r="AZ116" s="111">
        <f t="shared" si="23"/>
        <v>100</v>
      </c>
      <c r="BA116" s="717"/>
      <c r="BB116" s="761"/>
      <c r="BC116" s="142">
        <f>+IF(AND(W116="Preventivo",BB115="Fuerte"),2,IF(AND(W116="Preventivo",BB115="Moderado"),1,0))</f>
        <v>0</v>
      </c>
      <c r="BD116" s="68">
        <f>+IF(AND(W116="Detectivo/Correctivo",$BB115="Fuerte"),2,IF(AND(W116="Detectivo/Correctivo",$BB116="Moderado"),1,IF(AND(W116="Preventivo",$BB115="Fuerte"),1,0)))</f>
        <v>0</v>
      </c>
      <c r="BE116" s="142" t="e">
        <f>+N115-BC116</f>
        <v>#N/A</v>
      </c>
      <c r="BF116" s="142" t="e">
        <f>+P115-BD116</f>
        <v>#N/A</v>
      </c>
      <c r="BG116" s="713"/>
      <c r="BH116" s="713"/>
      <c r="BI116" s="713"/>
      <c r="BJ116" s="803"/>
      <c r="BK116" s="803"/>
      <c r="BL116" s="803"/>
      <c r="BM116" s="803"/>
    </row>
    <row r="117" spans="1:65" ht="65.150000000000006" customHeight="1" thickBot="1">
      <c r="A117" s="724"/>
      <c r="B117" s="812"/>
      <c r="C117" s="730"/>
      <c r="D117" s="158"/>
      <c r="E117" s="158"/>
      <c r="F117" s="814"/>
      <c r="G117" s="736"/>
      <c r="H117" s="105"/>
      <c r="I117" s="161"/>
      <c r="J117" s="105"/>
      <c r="K117" s="160"/>
      <c r="L117" s="150"/>
      <c r="M117" s="727"/>
      <c r="N117" s="720"/>
      <c r="O117" s="810"/>
      <c r="P117" s="720"/>
      <c r="Q117" s="715"/>
      <c r="R117" s="713"/>
      <c r="S117" s="140"/>
      <c r="T117" s="100"/>
      <c r="U117" s="52" t="s">
        <v>467</v>
      </c>
      <c r="V117" s="145"/>
      <c r="W117" s="145"/>
      <c r="X117" s="145"/>
      <c r="Y117" s="99" t="str">
        <f t="shared" si="13"/>
        <v/>
      </c>
      <c r="Z117" s="145"/>
      <c r="AA117" s="99" t="str">
        <f t="shared" si="14"/>
        <v/>
      </c>
      <c r="AB117" s="140"/>
      <c r="AC117" s="99" t="str">
        <f t="shared" si="15"/>
        <v/>
      </c>
      <c r="AD117" s="140"/>
      <c r="AE117" s="99" t="str">
        <f t="shared" si="16"/>
        <v/>
      </c>
      <c r="AF117" s="140"/>
      <c r="AG117" s="99" t="str">
        <f t="shared" si="17"/>
        <v/>
      </c>
      <c r="AH117" s="140"/>
      <c r="AI117" s="99" t="str">
        <f t="shared" si="18"/>
        <v/>
      </c>
      <c r="AJ117" s="140"/>
      <c r="AK117" s="28" t="str">
        <f t="shared" si="19"/>
        <v/>
      </c>
      <c r="AL117" s="111" t="str">
        <f t="shared" si="20"/>
        <v/>
      </c>
      <c r="AM117" s="111" t="str">
        <f t="shared" si="21"/>
        <v/>
      </c>
      <c r="AN117" s="178"/>
      <c r="AO117" s="178"/>
      <c r="AP117" s="178"/>
      <c r="AQ117" s="178"/>
      <c r="AR117" s="178"/>
      <c r="AS117" s="178"/>
      <c r="AT117" s="178"/>
      <c r="AU117" s="179" t="str">
        <f>IFERROR(VLOOKUP(AT117,'Seguridad Información'!$I$61:$J$65,2,0),"")</f>
        <v/>
      </c>
      <c r="AV117" s="83"/>
      <c r="AW117" s="82" t="str">
        <f t="shared" si="12"/>
        <v/>
      </c>
      <c r="AX117" s="81" t="str">
        <f t="shared" si="22"/>
        <v/>
      </c>
      <c r="AY117" s="22" t="str">
        <f>IFERROR(VLOOKUP((CONCATENATE(AM117,AX117)),Listados!$U$3:$V$11,2,FALSE),"")</f>
        <v/>
      </c>
      <c r="AZ117" s="111">
        <f t="shared" si="23"/>
        <v>100</v>
      </c>
      <c r="BA117" s="717"/>
      <c r="BB117" s="761"/>
      <c r="BC117" s="142">
        <f>+IF(AND(W117="Preventivo",BB115="Fuerte"),2,IF(AND(W117="Preventivo",BB115="Moderado"),1,0))</f>
        <v>0</v>
      </c>
      <c r="BD117" s="68">
        <f>+IF(AND(W117="Detectivo/Correctivo",$BB115="Fuerte"),2,IF(AND(W117="Detectivo/Correctivo",$BB117="Moderado"),1,IF(AND(W117="Preventivo",$BB115="Fuerte"),1,0)))</f>
        <v>0</v>
      </c>
      <c r="BE117" s="142" t="e">
        <f>+N115-BC117</f>
        <v>#N/A</v>
      </c>
      <c r="BF117" s="142" t="e">
        <f>+P115-BD117</f>
        <v>#N/A</v>
      </c>
      <c r="BG117" s="713"/>
      <c r="BH117" s="713"/>
      <c r="BI117" s="713"/>
      <c r="BJ117" s="803"/>
      <c r="BK117" s="803"/>
      <c r="BL117" s="803"/>
      <c r="BM117" s="803"/>
    </row>
    <row r="118" spans="1:65" ht="65.150000000000006" customHeight="1" thickBot="1">
      <c r="A118" s="724"/>
      <c r="B118" s="812"/>
      <c r="C118" s="730"/>
      <c r="D118" s="158"/>
      <c r="E118" s="158"/>
      <c r="F118" s="814"/>
      <c r="G118" s="736"/>
      <c r="H118" s="105"/>
      <c r="I118" s="161"/>
      <c r="J118" s="105"/>
      <c r="K118" s="160"/>
      <c r="L118" s="150"/>
      <c r="M118" s="727"/>
      <c r="N118" s="720"/>
      <c r="O118" s="810"/>
      <c r="P118" s="720"/>
      <c r="Q118" s="715"/>
      <c r="R118" s="713"/>
      <c r="S118" s="140"/>
      <c r="T118" s="101"/>
      <c r="U118" s="52" t="s">
        <v>467</v>
      </c>
      <c r="V118" s="145"/>
      <c r="W118" s="145"/>
      <c r="X118" s="145"/>
      <c r="Y118" s="99" t="str">
        <f t="shared" si="13"/>
        <v/>
      </c>
      <c r="Z118" s="145"/>
      <c r="AA118" s="99" t="str">
        <f t="shared" si="14"/>
        <v/>
      </c>
      <c r="AB118" s="140"/>
      <c r="AC118" s="99" t="str">
        <f t="shared" si="15"/>
        <v/>
      </c>
      <c r="AD118" s="140"/>
      <c r="AE118" s="99" t="str">
        <f t="shared" si="16"/>
        <v/>
      </c>
      <c r="AF118" s="140"/>
      <c r="AG118" s="99" t="str">
        <f t="shared" si="17"/>
        <v/>
      </c>
      <c r="AH118" s="140"/>
      <c r="AI118" s="99" t="str">
        <f t="shared" si="18"/>
        <v/>
      </c>
      <c r="AJ118" s="140"/>
      <c r="AK118" s="28" t="str">
        <f t="shared" si="19"/>
        <v/>
      </c>
      <c r="AL118" s="111" t="str">
        <f t="shared" si="20"/>
        <v/>
      </c>
      <c r="AM118" s="111" t="str">
        <f t="shared" si="21"/>
        <v/>
      </c>
      <c r="AN118" s="178"/>
      <c r="AO118" s="178"/>
      <c r="AP118" s="178"/>
      <c r="AQ118" s="178"/>
      <c r="AR118" s="178"/>
      <c r="AS118" s="178"/>
      <c r="AT118" s="178"/>
      <c r="AU118" s="179" t="str">
        <f>IFERROR(VLOOKUP(AT118,'Seguridad Información'!$I$61:$J$65,2,0),"")</f>
        <v/>
      </c>
      <c r="AV118" s="83"/>
      <c r="AW118" s="82" t="str">
        <f t="shared" si="12"/>
        <v/>
      </c>
      <c r="AX118" s="81" t="str">
        <f t="shared" si="22"/>
        <v/>
      </c>
      <c r="AY118" s="22" t="str">
        <f>IFERROR(VLOOKUP((CONCATENATE(AM118,AX118)),Listados!$U$3:$V$11,2,FALSE),"")</f>
        <v/>
      </c>
      <c r="AZ118" s="111">
        <f t="shared" si="23"/>
        <v>100</v>
      </c>
      <c r="BA118" s="717"/>
      <c r="BB118" s="761"/>
      <c r="BC118" s="142">
        <f>+IF(AND(W118="Preventivo",BB115="Fuerte"),2,IF(AND(W118="Preventivo",BB115="Moderado"),1,0))</f>
        <v>0</v>
      </c>
      <c r="BD118" s="68">
        <f>+IF(AND(W118="Detectivo/Correctivo",$BB115="Fuerte"),2,IF(AND(W118="Detectivo/Correctivo",$BB118="Moderado"),1,IF(AND(W118="Preventivo",$BB115="Fuerte"),1,0)))</f>
        <v>0</v>
      </c>
      <c r="BE118" s="142" t="e">
        <f>+N115-BC118</f>
        <v>#N/A</v>
      </c>
      <c r="BF118" s="142" t="e">
        <f>+P115-BD118</f>
        <v>#N/A</v>
      </c>
      <c r="BG118" s="713"/>
      <c r="BH118" s="713"/>
      <c r="BI118" s="713"/>
      <c r="BJ118" s="803"/>
      <c r="BK118" s="803"/>
      <c r="BL118" s="803"/>
      <c r="BM118" s="803"/>
    </row>
    <row r="119" spans="1:65" ht="65.150000000000006" customHeight="1" thickBot="1">
      <c r="A119" s="724"/>
      <c r="B119" s="812"/>
      <c r="C119" s="730"/>
      <c r="D119" s="116"/>
      <c r="E119" s="116"/>
      <c r="F119" s="814"/>
      <c r="G119" s="736"/>
      <c r="H119" s="105"/>
      <c r="I119" s="161"/>
      <c r="J119" s="105"/>
      <c r="K119" s="29"/>
      <c r="L119" s="150"/>
      <c r="M119" s="727"/>
      <c r="N119" s="720"/>
      <c r="O119" s="810"/>
      <c r="P119" s="720"/>
      <c r="Q119" s="715"/>
      <c r="R119" s="713"/>
      <c r="S119" s="140"/>
      <c r="T119" s="180"/>
      <c r="U119" s="52" t="s">
        <v>467</v>
      </c>
      <c r="V119" s="145"/>
      <c r="W119" s="145"/>
      <c r="X119" s="145"/>
      <c r="Y119" s="99" t="str">
        <f t="shared" si="13"/>
        <v/>
      </c>
      <c r="Z119" s="145"/>
      <c r="AA119" s="99" t="str">
        <f t="shared" si="14"/>
        <v/>
      </c>
      <c r="AB119" s="140"/>
      <c r="AC119" s="99" t="str">
        <f t="shared" si="15"/>
        <v/>
      </c>
      <c r="AD119" s="140"/>
      <c r="AE119" s="99" t="str">
        <f t="shared" si="16"/>
        <v/>
      </c>
      <c r="AF119" s="140"/>
      <c r="AG119" s="99" t="str">
        <f t="shared" si="17"/>
        <v/>
      </c>
      <c r="AH119" s="140"/>
      <c r="AI119" s="99" t="str">
        <f t="shared" si="18"/>
        <v/>
      </c>
      <c r="AJ119" s="140"/>
      <c r="AK119" s="28" t="str">
        <f t="shared" si="19"/>
        <v/>
      </c>
      <c r="AL119" s="111" t="str">
        <f t="shared" si="20"/>
        <v/>
      </c>
      <c r="AM119" s="111" t="str">
        <f t="shared" si="21"/>
        <v/>
      </c>
      <c r="AN119" s="178"/>
      <c r="AO119" s="178"/>
      <c r="AP119" s="178"/>
      <c r="AQ119" s="178"/>
      <c r="AR119" s="178"/>
      <c r="AS119" s="178"/>
      <c r="AT119" s="178"/>
      <c r="AU119" s="179" t="str">
        <f>IFERROR(VLOOKUP(AT119,'Seguridad Información'!$I$61:$J$65,2,0),"")</f>
        <v/>
      </c>
      <c r="AV119" s="83"/>
      <c r="AW119" s="82" t="str">
        <f t="shared" si="12"/>
        <v/>
      </c>
      <c r="AX119" s="81" t="str">
        <f t="shared" si="22"/>
        <v/>
      </c>
      <c r="AY119" s="22" t="str">
        <f>IFERROR(VLOOKUP((CONCATENATE(AM119,AX119)),Listados!$U$3:$V$11,2,FALSE),"")</f>
        <v/>
      </c>
      <c r="AZ119" s="111">
        <f t="shared" si="23"/>
        <v>100</v>
      </c>
      <c r="BA119" s="717"/>
      <c r="BB119" s="761"/>
      <c r="BC119" s="142">
        <f>+IF(AND(W119="Preventivo",BB115="Fuerte"),2,IF(AND(W119="Preventivo",BB115="Moderado"),1,0))</f>
        <v>0</v>
      </c>
      <c r="BD119" s="68">
        <f>+IF(AND(W119="Detectivo/Correctivo",$BB115="Fuerte"),2,IF(AND(W119="Detectivo/Correctivo",$BB119="Moderado"),1,IF(AND(W119="Preventivo",$BB115="Fuerte"),1,0)))</f>
        <v>0</v>
      </c>
      <c r="BE119" s="142" t="e">
        <f>+N115-BC119</f>
        <v>#N/A</v>
      </c>
      <c r="BF119" s="142" t="e">
        <f>+P115-BD119</f>
        <v>#N/A</v>
      </c>
      <c r="BG119" s="713"/>
      <c r="BH119" s="713"/>
      <c r="BI119" s="713"/>
      <c r="BJ119" s="803"/>
      <c r="BK119" s="803"/>
      <c r="BL119" s="803"/>
      <c r="BM119" s="803"/>
    </row>
    <row r="120" spans="1:65" ht="65.150000000000006" customHeight="1" thickBot="1">
      <c r="A120" s="725"/>
      <c r="B120" s="812"/>
      <c r="C120" s="731"/>
      <c r="D120" s="113"/>
      <c r="E120" s="113"/>
      <c r="F120" s="815"/>
      <c r="G120" s="781"/>
      <c r="H120" s="105"/>
      <c r="I120" s="161"/>
      <c r="J120" s="105"/>
      <c r="K120" s="30"/>
      <c r="L120" s="150"/>
      <c r="M120" s="727"/>
      <c r="N120" s="721"/>
      <c r="O120" s="810"/>
      <c r="P120" s="721"/>
      <c r="Q120" s="715"/>
      <c r="R120" s="714"/>
      <c r="S120" s="140"/>
      <c r="T120" s="102"/>
      <c r="U120" s="52" t="s">
        <v>467</v>
      </c>
      <c r="V120" s="145"/>
      <c r="W120" s="145"/>
      <c r="X120" s="145"/>
      <c r="Y120" s="99" t="str">
        <f t="shared" si="13"/>
        <v/>
      </c>
      <c r="Z120" s="145"/>
      <c r="AA120" s="99" t="str">
        <f t="shared" si="14"/>
        <v/>
      </c>
      <c r="AB120" s="140"/>
      <c r="AC120" s="99" t="str">
        <f t="shared" si="15"/>
        <v/>
      </c>
      <c r="AD120" s="140"/>
      <c r="AE120" s="99" t="str">
        <f t="shared" si="16"/>
        <v/>
      </c>
      <c r="AF120" s="140"/>
      <c r="AG120" s="99" t="str">
        <f t="shared" si="17"/>
        <v/>
      </c>
      <c r="AH120" s="140"/>
      <c r="AI120" s="99" t="str">
        <f t="shared" si="18"/>
        <v/>
      </c>
      <c r="AJ120" s="140"/>
      <c r="AK120" s="28" t="str">
        <f t="shared" si="19"/>
        <v/>
      </c>
      <c r="AL120" s="111" t="str">
        <f t="shared" si="20"/>
        <v/>
      </c>
      <c r="AM120" s="111" t="str">
        <f t="shared" si="21"/>
        <v/>
      </c>
      <c r="AN120" s="178"/>
      <c r="AO120" s="178"/>
      <c r="AP120" s="178"/>
      <c r="AQ120" s="178"/>
      <c r="AR120" s="178"/>
      <c r="AS120" s="178"/>
      <c r="AT120" s="178"/>
      <c r="AU120" s="179" t="str">
        <f>IFERROR(VLOOKUP(AT120,'Seguridad Información'!$I$61:$J$65,2,0),"")</f>
        <v/>
      </c>
      <c r="AV120" s="83"/>
      <c r="AW120" s="82" t="str">
        <f t="shared" si="12"/>
        <v/>
      </c>
      <c r="AX120" s="81" t="str">
        <f t="shared" si="22"/>
        <v/>
      </c>
      <c r="AY120" s="22" t="str">
        <f>IFERROR(VLOOKUP((CONCATENATE(AM120,AX120)),Listados!$U$3:$V$11,2,FALSE),"")</f>
        <v/>
      </c>
      <c r="AZ120" s="111">
        <f t="shared" si="23"/>
        <v>100</v>
      </c>
      <c r="BA120" s="718"/>
      <c r="BB120" s="761"/>
      <c r="BC120" s="142">
        <f>+IF(AND(W120="Preventivo",BB115="Fuerte"),2,IF(AND(W120="Preventivo",BB115="Moderado"),1,0))</f>
        <v>0</v>
      </c>
      <c r="BD120" s="68">
        <f>+IF(AND(W120="Detectivo/Correctivo",$BB115="Fuerte"),2,IF(AND(W120="Detectivo/Correctivo",$BB120="Moderado"),1,IF(AND(W120="Preventivo",$BB115="Fuerte"),1,0)))</f>
        <v>0</v>
      </c>
      <c r="BE120" s="142" t="e">
        <f>+N115-BC120</f>
        <v>#N/A</v>
      </c>
      <c r="BF120" s="142" t="e">
        <f>+P115-BD120</f>
        <v>#N/A</v>
      </c>
      <c r="BG120" s="714"/>
      <c r="BH120" s="714"/>
      <c r="BI120" s="714"/>
      <c r="BJ120" s="804"/>
      <c r="BK120" s="804"/>
      <c r="BL120" s="804"/>
      <c r="BM120" s="804"/>
    </row>
    <row r="121" spans="1:65" ht="65.150000000000006" customHeight="1" thickBot="1">
      <c r="A121" s="723">
        <v>20</v>
      </c>
      <c r="B121" s="811"/>
      <c r="C121" s="729" t="str">
        <f>IFERROR(VLOOKUP(B121,Listados!B$3:C$20,2,FALSE),"")</f>
        <v/>
      </c>
      <c r="D121" s="114"/>
      <c r="E121" s="114"/>
      <c r="F121" s="813"/>
      <c r="G121" s="735"/>
      <c r="H121" s="105"/>
      <c r="I121" s="161"/>
      <c r="J121" s="105"/>
      <c r="K121" s="109"/>
      <c r="L121" s="18"/>
      <c r="M121" s="762"/>
      <c r="N121" s="719" t="e">
        <f>+VLOOKUP(M121,Listados!$K$8:$L$12,2,0)</f>
        <v>#N/A</v>
      </c>
      <c r="O121" s="809"/>
      <c r="P121" s="719" t="e">
        <f>+VLOOKUP(O121,Listados!$K$13:$L$17,2,0)</f>
        <v>#N/A</v>
      </c>
      <c r="Q121" s="714" t="str">
        <f>IF(AND(M121&lt;&gt;"",O121&lt;&gt;""),VLOOKUP(M121&amp;O121,Listados!$M$3:$N$27,2,FALSE),"")</f>
        <v/>
      </c>
      <c r="R121" s="712" t="e">
        <f>+VLOOKUP(Q121,Listados!$P$3:$Q$6,2,FALSE)</f>
        <v>#N/A</v>
      </c>
      <c r="S121" s="140"/>
      <c r="T121" s="98"/>
      <c r="U121" s="52" t="s">
        <v>467</v>
      </c>
      <c r="V121" s="145"/>
      <c r="W121" s="145"/>
      <c r="X121" s="145"/>
      <c r="Y121" s="99" t="str">
        <f t="shared" si="13"/>
        <v/>
      </c>
      <c r="Z121" s="145"/>
      <c r="AA121" s="99" t="str">
        <f t="shared" si="14"/>
        <v/>
      </c>
      <c r="AB121" s="140"/>
      <c r="AC121" s="99" t="str">
        <f t="shared" si="15"/>
        <v/>
      </c>
      <c r="AD121" s="140"/>
      <c r="AE121" s="99" t="str">
        <f t="shared" si="16"/>
        <v/>
      </c>
      <c r="AF121" s="140"/>
      <c r="AG121" s="99" t="str">
        <f t="shared" si="17"/>
        <v/>
      </c>
      <c r="AH121" s="140"/>
      <c r="AI121" s="99" t="str">
        <f t="shared" si="18"/>
        <v/>
      </c>
      <c r="AJ121" s="140"/>
      <c r="AK121" s="28" t="str">
        <f t="shared" si="19"/>
        <v/>
      </c>
      <c r="AL121" s="111" t="str">
        <f t="shared" si="20"/>
        <v/>
      </c>
      <c r="AM121" s="111" t="str">
        <f t="shared" si="21"/>
        <v/>
      </c>
      <c r="AN121" s="178"/>
      <c r="AO121" s="178"/>
      <c r="AP121" s="178"/>
      <c r="AQ121" s="178"/>
      <c r="AR121" s="178"/>
      <c r="AS121" s="178"/>
      <c r="AT121" s="178"/>
      <c r="AU121" s="179" t="str">
        <f>IFERROR(VLOOKUP(AT121,'Seguridad Información'!$I$61:$J$65,2,0),"")</f>
        <v/>
      </c>
      <c r="AV121" s="83"/>
      <c r="AW121" s="82" t="str">
        <f t="shared" si="12"/>
        <v/>
      </c>
      <c r="AX121" s="81" t="str">
        <f t="shared" si="22"/>
        <v/>
      </c>
      <c r="AY121" s="22" t="str">
        <f>IFERROR(VLOOKUP((CONCATENATE(AM121,AX121)),Listados!$U$3:$V$11,2,FALSE),"")</f>
        <v/>
      </c>
      <c r="AZ121" s="111">
        <f t="shared" si="23"/>
        <v>100</v>
      </c>
      <c r="BA121" s="716">
        <f>AVERAGE(AZ121:AZ126)</f>
        <v>100</v>
      </c>
      <c r="BB121" s="718" t="str">
        <f>IF(BA121&lt;=50, "Débil", IF(BA121&lt;=99,"Moderado","Fuerte"))</f>
        <v>Fuerte</v>
      </c>
      <c r="BC121" s="142">
        <f>+IF(AND(W121="Preventivo",BB121="Fuerte"),2,IF(AND(W121="Preventivo",BB121="Moderado"),1,0))</f>
        <v>0</v>
      </c>
      <c r="BD121" s="68">
        <f>+IF(AND(W121="Detectivo/Correctivo",$BB121="Fuerte"),2,IF(AND(W121="Detectivo/Correctivo",$BB121="Moderado"),1,IF(AND(W121="Preventivo",$BB121="Fuerte"),1,0)))</f>
        <v>0</v>
      </c>
      <c r="BE121" s="142" t="e">
        <f>+N121-BC121</f>
        <v>#N/A</v>
      </c>
      <c r="BF121" s="142" t="e">
        <f>+P121-BD121</f>
        <v>#N/A</v>
      </c>
      <c r="BG121" s="712" t="e">
        <f>+VLOOKUP(MIN(BE121,BE122,BE123,BE124,BE125,BE126),Listados!$J$18:$K$24,2,TRUE)</f>
        <v>#N/A</v>
      </c>
      <c r="BH121" s="712" t="e">
        <f>+VLOOKUP(MIN(BF121,BF122,BF123,BF124,BF125,BF126),Listados!$J$27:$K$32,2,TRUE)</f>
        <v>#N/A</v>
      </c>
      <c r="BI121" s="712" t="e">
        <f>IF(AND(BG121&lt;&gt;"",BH121&lt;&gt;""),VLOOKUP(BG121&amp;BH121,Listados!$M$3:$N$27,2,FALSE),"")</f>
        <v>#N/A</v>
      </c>
      <c r="BJ121" s="802" t="e">
        <f>+IF($R121="Asumir el riesgo","NA","")</f>
        <v>#N/A</v>
      </c>
      <c r="BK121" s="802" t="e">
        <f>+IF($R121="Asumir el riesgo","NA","")</f>
        <v>#N/A</v>
      </c>
      <c r="BL121" s="802" t="e">
        <f>+IF($R121="Asumir el riesgo","NA","")</f>
        <v>#N/A</v>
      </c>
      <c r="BM121" s="802" t="e">
        <f>+IF($R121="Asumir el riesgo","NA","")</f>
        <v>#N/A</v>
      </c>
    </row>
    <row r="122" spans="1:65" ht="65.150000000000006" customHeight="1" thickBot="1">
      <c r="A122" s="724"/>
      <c r="B122" s="812"/>
      <c r="C122" s="730"/>
      <c r="D122" s="158"/>
      <c r="E122" s="158"/>
      <c r="F122" s="814"/>
      <c r="G122" s="736"/>
      <c r="H122" s="105"/>
      <c r="I122" s="161"/>
      <c r="J122" s="105"/>
      <c r="K122" s="160"/>
      <c r="L122" s="150"/>
      <c r="M122" s="727"/>
      <c r="N122" s="720"/>
      <c r="O122" s="810"/>
      <c r="P122" s="720"/>
      <c r="Q122" s="715"/>
      <c r="R122" s="713"/>
      <c r="S122" s="140"/>
      <c r="T122" s="180"/>
      <c r="U122" s="52" t="s">
        <v>467</v>
      </c>
      <c r="V122" s="145"/>
      <c r="W122" s="145"/>
      <c r="X122" s="145"/>
      <c r="Y122" s="99" t="str">
        <f t="shared" si="13"/>
        <v/>
      </c>
      <c r="Z122" s="145"/>
      <c r="AA122" s="99" t="str">
        <f t="shared" si="14"/>
        <v/>
      </c>
      <c r="AB122" s="140"/>
      <c r="AC122" s="99" t="str">
        <f t="shared" si="15"/>
        <v/>
      </c>
      <c r="AD122" s="140"/>
      <c r="AE122" s="99" t="str">
        <f t="shared" si="16"/>
        <v/>
      </c>
      <c r="AF122" s="140"/>
      <c r="AG122" s="99" t="str">
        <f t="shared" si="17"/>
        <v/>
      </c>
      <c r="AH122" s="140"/>
      <c r="AI122" s="99" t="str">
        <f t="shared" si="18"/>
        <v/>
      </c>
      <c r="AJ122" s="140"/>
      <c r="AK122" s="28" t="str">
        <f t="shared" si="19"/>
        <v/>
      </c>
      <c r="AL122" s="111" t="str">
        <f t="shared" si="20"/>
        <v/>
      </c>
      <c r="AM122" s="111" t="str">
        <f t="shared" si="21"/>
        <v/>
      </c>
      <c r="AN122" s="178"/>
      <c r="AO122" s="178"/>
      <c r="AP122" s="178"/>
      <c r="AQ122" s="178"/>
      <c r="AR122" s="178"/>
      <c r="AS122" s="178"/>
      <c r="AT122" s="178"/>
      <c r="AU122" s="179" t="str">
        <f>IFERROR(VLOOKUP(AT122,'Seguridad Información'!$I$61:$J$65,2,0),"")</f>
        <v/>
      </c>
      <c r="AV122" s="83"/>
      <c r="AW122" s="82" t="str">
        <f t="shared" si="12"/>
        <v/>
      </c>
      <c r="AX122" s="81" t="str">
        <f t="shared" si="22"/>
        <v/>
      </c>
      <c r="AY122" s="22" t="str">
        <f>IFERROR(VLOOKUP((CONCATENATE(AM122,AX122)),Listados!$U$3:$V$11,2,FALSE),"")</f>
        <v/>
      </c>
      <c r="AZ122" s="111">
        <f t="shared" si="23"/>
        <v>100</v>
      </c>
      <c r="BA122" s="717"/>
      <c r="BB122" s="761"/>
      <c r="BC122" s="142">
        <f>+IF(AND(W122="Preventivo",BB121="Fuerte"),2,IF(AND(W122="Preventivo",BB121="Moderado"),1,0))</f>
        <v>0</v>
      </c>
      <c r="BD122" s="68">
        <f>+IF(AND(W122="Detectivo/Correctivo",$BB121="Fuerte"),2,IF(AND(W122="Detectivo/Correctivo",$BB122="Moderado"),1,IF(AND(W122="Preventivo",$BB121="Fuerte"),1,0)))</f>
        <v>0</v>
      </c>
      <c r="BE122" s="142" t="e">
        <f>+N121-BC122</f>
        <v>#N/A</v>
      </c>
      <c r="BF122" s="142" t="e">
        <f>+P121-BD122</f>
        <v>#N/A</v>
      </c>
      <c r="BG122" s="713"/>
      <c r="BH122" s="713"/>
      <c r="BI122" s="713"/>
      <c r="BJ122" s="803"/>
      <c r="BK122" s="803"/>
      <c r="BL122" s="803"/>
      <c r="BM122" s="803"/>
    </row>
    <row r="123" spans="1:65" ht="65.150000000000006" customHeight="1" thickBot="1">
      <c r="A123" s="724"/>
      <c r="B123" s="812"/>
      <c r="C123" s="730"/>
      <c r="D123" s="158"/>
      <c r="E123" s="158"/>
      <c r="F123" s="814"/>
      <c r="G123" s="736"/>
      <c r="H123" s="105"/>
      <c r="I123" s="161"/>
      <c r="J123" s="105"/>
      <c r="K123" s="160"/>
      <c r="L123" s="150"/>
      <c r="M123" s="727"/>
      <c r="N123" s="720"/>
      <c r="O123" s="810"/>
      <c r="P123" s="720"/>
      <c r="Q123" s="715"/>
      <c r="R123" s="713"/>
      <c r="S123" s="140"/>
      <c r="T123" s="100"/>
      <c r="U123" s="52" t="s">
        <v>467</v>
      </c>
      <c r="V123" s="145"/>
      <c r="W123" s="145"/>
      <c r="X123" s="145"/>
      <c r="Y123" s="99" t="str">
        <f t="shared" si="13"/>
        <v/>
      </c>
      <c r="Z123" s="145"/>
      <c r="AA123" s="99" t="str">
        <f t="shared" si="14"/>
        <v/>
      </c>
      <c r="AB123" s="140"/>
      <c r="AC123" s="99" t="str">
        <f t="shared" si="15"/>
        <v/>
      </c>
      <c r="AD123" s="140"/>
      <c r="AE123" s="99" t="str">
        <f t="shared" si="16"/>
        <v/>
      </c>
      <c r="AF123" s="140"/>
      <c r="AG123" s="99" t="str">
        <f t="shared" si="17"/>
        <v/>
      </c>
      <c r="AH123" s="140"/>
      <c r="AI123" s="99" t="str">
        <f t="shared" si="18"/>
        <v/>
      </c>
      <c r="AJ123" s="140"/>
      <c r="AK123" s="28" t="str">
        <f t="shared" si="19"/>
        <v/>
      </c>
      <c r="AL123" s="111" t="str">
        <f t="shared" si="20"/>
        <v/>
      </c>
      <c r="AM123" s="111" t="str">
        <f t="shared" si="21"/>
        <v/>
      </c>
      <c r="AN123" s="178"/>
      <c r="AO123" s="178"/>
      <c r="AP123" s="178"/>
      <c r="AQ123" s="178"/>
      <c r="AR123" s="178"/>
      <c r="AS123" s="178"/>
      <c r="AT123" s="178"/>
      <c r="AU123" s="179" t="str">
        <f>IFERROR(VLOOKUP(AT123,'Seguridad Información'!$I$61:$J$65,2,0),"")</f>
        <v/>
      </c>
      <c r="AV123" s="83"/>
      <c r="AW123" s="82" t="str">
        <f t="shared" si="12"/>
        <v/>
      </c>
      <c r="AX123" s="81" t="str">
        <f t="shared" si="22"/>
        <v/>
      </c>
      <c r="AY123" s="22" t="str">
        <f>IFERROR(VLOOKUP((CONCATENATE(AM123,AX123)),Listados!$U$3:$V$11,2,FALSE),"")</f>
        <v/>
      </c>
      <c r="AZ123" s="111">
        <f t="shared" si="23"/>
        <v>100</v>
      </c>
      <c r="BA123" s="717"/>
      <c r="BB123" s="761"/>
      <c r="BC123" s="142">
        <f>+IF(AND(W123="Preventivo",BB121="Fuerte"),2,IF(AND(W123="Preventivo",BB121="Moderado"),1,0))</f>
        <v>0</v>
      </c>
      <c r="BD123" s="68">
        <f>+IF(AND(W123="Detectivo/Correctivo",$BB121="Fuerte"),2,IF(AND(W123="Detectivo/Correctivo",$BB123="Moderado"),1,IF(AND(W123="Preventivo",$BB121="Fuerte"),1,0)))</f>
        <v>0</v>
      </c>
      <c r="BE123" s="142" t="e">
        <f>+N121-BC123</f>
        <v>#N/A</v>
      </c>
      <c r="BF123" s="142" t="e">
        <f>+P121-BD123</f>
        <v>#N/A</v>
      </c>
      <c r="BG123" s="713"/>
      <c r="BH123" s="713"/>
      <c r="BI123" s="713"/>
      <c r="BJ123" s="803"/>
      <c r="BK123" s="803"/>
      <c r="BL123" s="803"/>
      <c r="BM123" s="803"/>
    </row>
    <row r="124" spans="1:65" ht="65.150000000000006" customHeight="1" thickBot="1">
      <c r="A124" s="724"/>
      <c r="B124" s="812"/>
      <c r="C124" s="730"/>
      <c r="D124" s="158"/>
      <c r="E124" s="158"/>
      <c r="F124" s="814"/>
      <c r="G124" s="736"/>
      <c r="H124" s="105"/>
      <c r="I124" s="161"/>
      <c r="J124" s="105"/>
      <c r="K124" s="160"/>
      <c r="L124" s="150"/>
      <c r="M124" s="727"/>
      <c r="N124" s="720"/>
      <c r="O124" s="810"/>
      <c r="P124" s="720"/>
      <c r="Q124" s="715"/>
      <c r="R124" s="713"/>
      <c r="S124" s="140"/>
      <c r="T124" s="101"/>
      <c r="U124" s="52" t="s">
        <v>467</v>
      </c>
      <c r="V124" s="145"/>
      <c r="W124" s="145"/>
      <c r="X124" s="145"/>
      <c r="Y124" s="99" t="str">
        <f t="shared" si="13"/>
        <v/>
      </c>
      <c r="Z124" s="145"/>
      <c r="AA124" s="99" t="str">
        <f t="shared" si="14"/>
        <v/>
      </c>
      <c r="AB124" s="140"/>
      <c r="AC124" s="99" t="str">
        <f t="shared" si="15"/>
        <v/>
      </c>
      <c r="AD124" s="140"/>
      <c r="AE124" s="99" t="str">
        <f t="shared" si="16"/>
        <v/>
      </c>
      <c r="AF124" s="140"/>
      <c r="AG124" s="99" t="str">
        <f t="shared" si="17"/>
        <v/>
      </c>
      <c r="AH124" s="140"/>
      <c r="AI124" s="99" t="str">
        <f t="shared" si="18"/>
        <v/>
      </c>
      <c r="AJ124" s="140"/>
      <c r="AK124" s="28" t="str">
        <f t="shared" si="19"/>
        <v/>
      </c>
      <c r="AL124" s="111" t="str">
        <f t="shared" si="20"/>
        <v/>
      </c>
      <c r="AM124" s="111" t="str">
        <f t="shared" si="21"/>
        <v/>
      </c>
      <c r="AN124" s="178"/>
      <c r="AO124" s="178"/>
      <c r="AP124" s="178"/>
      <c r="AQ124" s="178"/>
      <c r="AR124" s="178"/>
      <c r="AS124" s="178"/>
      <c r="AT124" s="178"/>
      <c r="AU124" s="179" t="str">
        <f>IFERROR(VLOOKUP(AT124,'Seguridad Información'!$I$61:$J$65,2,0),"")</f>
        <v/>
      </c>
      <c r="AV124" s="83"/>
      <c r="AW124" s="82" t="str">
        <f t="shared" si="12"/>
        <v/>
      </c>
      <c r="AX124" s="81" t="str">
        <f t="shared" si="22"/>
        <v/>
      </c>
      <c r="AY124" s="22" t="str">
        <f>IFERROR(VLOOKUP((CONCATENATE(AM124,AX124)),Listados!$U$3:$V$11,2,FALSE),"")</f>
        <v/>
      </c>
      <c r="AZ124" s="111">
        <f t="shared" si="23"/>
        <v>100</v>
      </c>
      <c r="BA124" s="717"/>
      <c r="BB124" s="761"/>
      <c r="BC124" s="142">
        <f>+IF(AND(W124="Preventivo",BB121="Fuerte"),2,IF(AND(W124="Preventivo",BB121="Moderado"),1,0))</f>
        <v>0</v>
      </c>
      <c r="BD124" s="68">
        <f>+IF(AND(W124="Detectivo/Correctivo",$BB121="Fuerte"),2,IF(AND(W124="Detectivo/Correctivo",$BB124="Moderado"),1,IF(AND(W124="Preventivo",$BB121="Fuerte"),1,0)))</f>
        <v>0</v>
      </c>
      <c r="BE124" s="142" t="e">
        <f>+N121-BC124</f>
        <v>#N/A</v>
      </c>
      <c r="BF124" s="142" t="e">
        <f>+P121-BD124</f>
        <v>#N/A</v>
      </c>
      <c r="BG124" s="713"/>
      <c r="BH124" s="713"/>
      <c r="BI124" s="713"/>
      <c r="BJ124" s="803"/>
      <c r="BK124" s="803"/>
      <c r="BL124" s="803"/>
      <c r="BM124" s="803"/>
    </row>
    <row r="125" spans="1:65" ht="65.150000000000006" customHeight="1" thickBot="1">
      <c r="A125" s="724"/>
      <c r="B125" s="812"/>
      <c r="C125" s="730"/>
      <c r="D125" s="116"/>
      <c r="E125" s="116"/>
      <c r="F125" s="814"/>
      <c r="G125" s="736"/>
      <c r="H125" s="105"/>
      <c r="I125" s="161"/>
      <c r="J125" s="105"/>
      <c r="K125" s="29"/>
      <c r="L125" s="150"/>
      <c r="M125" s="727"/>
      <c r="N125" s="720"/>
      <c r="O125" s="810"/>
      <c r="P125" s="720"/>
      <c r="Q125" s="715"/>
      <c r="R125" s="713"/>
      <c r="S125" s="140"/>
      <c r="T125" s="180"/>
      <c r="U125" s="52" t="s">
        <v>467</v>
      </c>
      <c r="V125" s="145"/>
      <c r="W125" s="145"/>
      <c r="X125" s="145"/>
      <c r="Y125" s="99" t="str">
        <f t="shared" si="13"/>
        <v/>
      </c>
      <c r="Z125" s="145"/>
      <c r="AA125" s="99" t="str">
        <f t="shared" si="14"/>
        <v/>
      </c>
      <c r="AB125" s="140"/>
      <c r="AC125" s="99" t="str">
        <f t="shared" si="15"/>
        <v/>
      </c>
      <c r="AD125" s="140"/>
      <c r="AE125" s="99" t="str">
        <f t="shared" si="16"/>
        <v/>
      </c>
      <c r="AF125" s="140"/>
      <c r="AG125" s="99" t="str">
        <f t="shared" si="17"/>
        <v/>
      </c>
      <c r="AH125" s="140"/>
      <c r="AI125" s="99" t="str">
        <f t="shared" si="18"/>
        <v/>
      </c>
      <c r="AJ125" s="140"/>
      <c r="AK125" s="28" t="str">
        <f t="shared" si="19"/>
        <v/>
      </c>
      <c r="AL125" s="111" t="str">
        <f t="shared" si="20"/>
        <v/>
      </c>
      <c r="AM125" s="111" t="str">
        <f t="shared" si="21"/>
        <v/>
      </c>
      <c r="AN125" s="178"/>
      <c r="AO125" s="178"/>
      <c r="AP125" s="178"/>
      <c r="AQ125" s="178"/>
      <c r="AR125" s="178"/>
      <c r="AS125" s="178"/>
      <c r="AT125" s="178"/>
      <c r="AU125" s="179" t="str">
        <f>IFERROR(VLOOKUP(AT125,'Seguridad Información'!$I$61:$J$65,2,0),"")</f>
        <v/>
      </c>
      <c r="AV125" s="83"/>
      <c r="AW125" s="82" t="str">
        <f t="shared" si="12"/>
        <v/>
      </c>
      <c r="AX125" s="81" t="str">
        <f t="shared" si="22"/>
        <v/>
      </c>
      <c r="AY125" s="22" t="str">
        <f>IFERROR(VLOOKUP((CONCATENATE(AM125,AX125)),Listados!$U$3:$V$11,2,FALSE),"")</f>
        <v/>
      </c>
      <c r="AZ125" s="111">
        <f t="shared" si="23"/>
        <v>100</v>
      </c>
      <c r="BA125" s="717"/>
      <c r="BB125" s="761"/>
      <c r="BC125" s="142">
        <f>+IF(AND(W125="Preventivo",BB121="Fuerte"),2,IF(AND(W125="Preventivo",BB121="Moderado"),1,0))</f>
        <v>0</v>
      </c>
      <c r="BD125" s="68">
        <f>+IF(AND(W125="Detectivo/Correctivo",$BB121="Fuerte"),2,IF(AND(W125="Detectivo/Correctivo",$BB125="Moderado"),1,IF(AND(W125="Preventivo",$BB121="Fuerte"),1,0)))</f>
        <v>0</v>
      </c>
      <c r="BE125" s="142" t="e">
        <f>+N121-BC125</f>
        <v>#N/A</v>
      </c>
      <c r="BF125" s="142" t="e">
        <f>+P121-BD125</f>
        <v>#N/A</v>
      </c>
      <c r="BG125" s="713"/>
      <c r="BH125" s="713"/>
      <c r="BI125" s="713"/>
      <c r="BJ125" s="803"/>
      <c r="BK125" s="803"/>
      <c r="BL125" s="803"/>
      <c r="BM125" s="803"/>
    </row>
    <row r="126" spans="1:65" ht="65.150000000000006" customHeight="1" thickBot="1">
      <c r="A126" s="725"/>
      <c r="B126" s="812"/>
      <c r="C126" s="731"/>
      <c r="D126" s="113"/>
      <c r="E126" s="113"/>
      <c r="F126" s="815"/>
      <c r="G126" s="781"/>
      <c r="H126" s="105"/>
      <c r="I126" s="161"/>
      <c r="J126" s="105"/>
      <c r="K126" s="30"/>
      <c r="L126" s="150"/>
      <c r="M126" s="727"/>
      <c r="N126" s="721"/>
      <c r="O126" s="810"/>
      <c r="P126" s="721"/>
      <c r="Q126" s="715"/>
      <c r="R126" s="714"/>
      <c r="S126" s="140"/>
      <c r="T126" s="102"/>
      <c r="U126" s="52" t="s">
        <v>467</v>
      </c>
      <c r="V126" s="145"/>
      <c r="W126" s="145"/>
      <c r="X126" s="145"/>
      <c r="Y126" s="99" t="str">
        <f t="shared" si="13"/>
        <v/>
      </c>
      <c r="Z126" s="145"/>
      <c r="AA126" s="99" t="str">
        <f t="shared" si="14"/>
        <v/>
      </c>
      <c r="AB126" s="140"/>
      <c r="AC126" s="99" t="str">
        <f t="shared" si="15"/>
        <v/>
      </c>
      <c r="AD126" s="140"/>
      <c r="AE126" s="99" t="str">
        <f t="shared" si="16"/>
        <v/>
      </c>
      <c r="AF126" s="140"/>
      <c r="AG126" s="99" t="str">
        <f t="shared" si="17"/>
        <v/>
      </c>
      <c r="AH126" s="140"/>
      <c r="AI126" s="99" t="str">
        <f t="shared" si="18"/>
        <v/>
      </c>
      <c r="AJ126" s="140"/>
      <c r="AK126" s="28" t="str">
        <f t="shared" si="19"/>
        <v/>
      </c>
      <c r="AL126" s="111" t="str">
        <f t="shared" si="20"/>
        <v/>
      </c>
      <c r="AM126" s="111" t="str">
        <f t="shared" si="21"/>
        <v/>
      </c>
      <c r="AN126" s="178"/>
      <c r="AO126" s="178"/>
      <c r="AP126" s="178"/>
      <c r="AQ126" s="178"/>
      <c r="AR126" s="178"/>
      <c r="AS126" s="178"/>
      <c r="AT126" s="178"/>
      <c r="AU126" s="179" t="str">
        <f>IFERROR(VLOOKUP(AT126,'Seguridad Información'!$I$61:$J$65,2,0),"")</f>
        <v/>
      </c>
      <c r="AV126" s="83"/>
      <c r="AW126" s="82" t="str">
        <f t="shared" si="12"/>
        <v/>
      </c>
      <c r="AX126" s="81" t="str">
        <f t="shared" si="22"/>
        <v/>
      </c>
      <c r="AY126" s="22" t="str">
        <f>IFERROR(VLOOKUP((CONCATENATE(AM126,AX126)),Listados!$U$3:$V$11,2,FALSE),"")</f>
        <v/>
      </c>
      <c r="AZ126" s="111">
        <f t="shared" si="23"/>
        <v>100</v>
      </c>
      <c r="BA126" s="718"/>
      <c r="BB126" s="761"/>
      <c r="BC126" s="142">
        <f>+IF(AND(W126="Preventivo",BB121="Fuerte"),2,IF(AND(W126="Preventivo",BB121="Moderado"),1,0))</f>
        <v>0</v>
      </c>
      <c r="BD126" s="68">
        <f>+IF(AND(W126="Detectivo/Correctivo",$BB121="Fuerte"),2,IF(AND(W126="Detectivo/Correctivo",$BB126="Moderado"),1,IF(AND(W126="Preventivo",$BB121="Fuerte"),1,0)))</f>
        <v>0</v>
      </c>
      <c r="BE126" s="142" t="e">
        <f>+N121-BC126</f>
        <v>#N/A</v>
      </c>
      <c r="BF126" s="142" t="e">
        <f>+P121-BD126</f>
        <v>#N/A</v>
      </c>
      <c r="BG126" s="714"/>
      <c r="BH126" s="714"/>
      <c r="BI126" s="714"/>
      <c r="BJ126" s="804"/>
      <c r="BK126" s="804"/>
      <c r="BL126" s="804"/>
      <c r="BM126" s="804"/>
    </row>
    <row r="127" spans="1:65" ht="65.150000000000006" customHeight="1" thickBot="1">
      <c r="A127" s="723">
        <v>21</v>
      </c>
      <c r="B127" s="811"/>
      <c r="C127" s="729" t="str">
        <f>IFERROR(VLOOKUP(B127,Listados!B$3:C$20,2,FALSE),"")</f>
        <v/>
      </c>
      <c r="D127" s="114"/>
      <c r="E127" s="114"/>
      <c r="F127" s="813"/>
      <c r="G127" s="735"/>
      <c r="H127" s="105"/>
      <c r="I127" s="161"/>
      <c r="J127" s="105"/>
      <c r="K127" s="109"/>
      <c r="L127" s="18"/>
      <c r="M127" s="762"/>
      <c r="N127" s="719" t="e">
        <f>+VLOOKUP(M127,Listados!$K$8:$L$12,2,0)</f>
        <v>#N/A</v>
      </c>
      <c r="O127" s="809"/>
      <c r="P127" s="719" t="e">
        <f>+VLOOKUP(O127,Listados!$K$13:$L$17,2,0)</f>
        <v>#N/A</v>
      </c>
      <c r="Q127" s="714" t="str">
        <f>IF(AND(M127&lt;&gt;"",O127&lt;&gt;""),VLOOKUP(M127&amp;O127,Listados!$M$3:$N$27,2,FALSE),"")</f>
        <v/>
      </c>
      <c r="R127" s="712" t="e">
        <f>+VLOOKUP(Q127,Listados!$P$3:$Q$6,2,FALSE)</f>
        <v>#N/A</v>
      </c>
      <c r="S127" s="140"/>
      <c r="T127" s="98"/>
      <c r="U127" s="52" t="s">
        <v>467</v>
      </c>
      <c r="V127" s="145"/>
      <c r="W127" s="145"/>
      <c r="X127" s="145"/>
      <c r="Y127" s="99" t="str">
        <f t="shared" si="13"/>
        <v/>
      </c>
      <c r="Z127" s="145"/>
      <c r="AA127" s="99" t="str">
        <f t="shared" si="14"/>
        <v/>
      </c>
      <c r="AB127" s="140"/>
      <c r="AC127" s="99" t="str">
        <f t="shared" si="15"/>
        <v/>
      </c>
      <c r="AD127" s="140"/>
      <c r="AE127" s="99" t="str">
        <f t="shared" si="16"/>
        <v/>
      </c>
      <c r="AF127" s="140"/>
      <c r="AG127" s="99" t="str">
        <f t="shared" si="17"/>
        <v/>
      </c>
      <c r="AH127" s="140"/>
      <c r="AI127" s="99" t="str">
        <f t="shared" si="18"/>
        <v/>
      </c>
      <c r="AJ127" s="140"/>
      <c r="AK127" s="28" t="str">
        <f t="shared" si="19"/>
        <v/>
      </c>
      <c r="AL127" s="111" t="str">
        <f t="shared" si="20"/>
        <v/>
      </c>
      <c r="AM127" s="111" t="str">
        <f t="shared" si="21"/>
        <v/>
      </c>
      <c r="AN127" s="178"/>
      <c r="AO127" s="178"/>
      <c r="AP127" s="178"/>
      <c r="AQ127" s="178"/>
      <c r="AR127" s="178"/>
      <c r="AS127" s="178"/>
      <c r="AT127" s="178"/>
      <c r="AU127" s="179" t="str">
        <f>IFERROR(VLOOKUP(AT127,'Seguridad Información'!$I$61:$J$65,2,0),"")</f>
        <v/>
      </c>
      <c r="AV127" s="83"/>
      <c r="AW127" s="82" t="str">
        <f t="shared" si="12"/>
        <v/>
      </c>
      <c r="AX127" s="81" t="str">
        <f t="shared" si="22"/>
        <v/>
      </c>
      <c r="AY127" s="22" t="str">
        <f>IFERROR(VLOOKUP((CONCATENATE(AM127,AX127)),Listados!$U$3:$V$11,2,FALSE),"")</f>
        <v/>
      </c>
      <c r="AZ127" s="111">
        <f t="shared" si="23"/>
        <v>100</v>
      </c>
      <c r="BA127" s="716">
        <f>AVERAGE(AZ127:AZ132)</f>
        <v>100</v>
      </c>
      <c r="BB127" s="718" t="str">
        <f>IF(BA127&lt;=50, "Débil", IF(BA127&lt;=99,"Moderado","Fuerte"))</f>
        <v>Fuerte</v>
      </c>
      <c r="BC127" s="142">
        <f>+IF(AND(W127="Preventivo",BB127="Fuerte"),2,IF(AND(W127="Preventivo",BB127="Moderado"),1,0))</f>
        <v>0</v>
      </c>
      <c r="BD127" s="68">
        <f>+IF(AND(W127="Detectivo/Correctivo",$BB127="Fuerte"),2,IF(AND(W127="Detectivo/Correctivo",$BB127="Moderado"),1,IF(AND(W127="Preventivo",$BB127="Fuerte"),1,0)))</f>
        <v>0</v>
      </c>
      <c r="BE127" s="142" t="e">
        <f>+N127-BC127</f>
        <v>#N/A</v>
      </c>
      <c r="BF127" s="142" t="e">
        <f>+P127-BD127</f>
        <v>#N/A</v>
      </c>
      <c r="BG127" s="712" t="e">
        <f>+VLOOKUP(MIN(BE127,BE128,BE129,BE130,BE131,BE132),Listados!$J$18:$K$24,2,TRUE)</f>
        <v>#N/A</v>
      </c>
      <c r="BH127" s="712" t="e">
        <f>+VLOOKUP(MIN(BF127,BF128,BF129,BF130,BF131,BF132),Listados!$J$27:$K$32,2,TRUE)</f>
        <v>#N/A</v>
      </c>
      <c r="BI127" s="712" t="e">
        <f>IF(AND(BG127&lt;&gt;"",BH127&lt;&gt;""),VLOOKUP(BG127&amp;BH127,Listados!$M$3:$N$27,2,FALSE),"")</f>
        <v>#N/A</v>
      </c>
      <c r="BJ127" s="802" t="e">
        <f>+IF($R127="Asumir el riesgo","NA","")</f>
        <v>#N/A</v>
      </c>
      <c r="BK127" s="802" t="e">
        <f>+IF($R127="Asumir el riesgo","NA","")</f>
        <v>#N/A</v>
      </c>
      <c r="BL127" s="802" t="e">
        <f>+IF($R127="Asumir el riesgo","NA","")</f>
        <v>#N/A</v>
      </c>
      <c r="BM127" s="802" t="e">
        <f>+IF($R127="Asumir el riesgo","NA","")</f>
        <v>#N/A</v>
      </c>
    </row>
    <row r="128" spans="1:65" ht="65.150000000000006" customHeight="1" thickBot="1">
      <c r="A128" s="724"/>
      <c r="B128" s="812"/>
      <c r="C128" s="730"/>
      <c r="D128" s="158"/>
      <c r="E128" s="158"/>
      <c r="F128" s="814"/>
      <c r="G128" s="736"/>
      <c r="H128" s="105"/>
      <c r="I128" s="161"/>
      <c r="J128" s="105"/>
      <c r="K128" s="160"/>
      <c r="L128" s="150"/>
      <c r="M128" s="727"/>
      <c r="N128" s="720"/>
      <c r="O128" s="810"/>
      <c r="P128" s="720"/>
      <c r="Q128" s="715"/>
      <c r="R128" s="713"/>
      <c r="S128" s="140"/>
      <c r="T128" s="180"/>
      <c r="U128" s="52" t="s">
        <v>467</v>
      </c>
      <c r="V128" s="145"/>
      <c r="W128" s="145"/>
      <c r="X128" s="145"/>
      <c r="Y128" s="99" t="str">
        <f t="shared" si="13"/>
        <v/>
      </c>
      <c r="Z128" s="145"/>
      <c r="AA128" s="99" t="str">
        <f t="shared" si="14"/>
        <v/>
      </c>
      <c r="AB128" s="140"/>
      <c r="AC128" s="99" t="str">
        <f t="shared" si="15"/>
        <v/>
      </c>
      <c r="AD128" s="140"/>
      <c r="AE128" s="99" t="str">
        <f t="shared" si="16"/>
        <v/>
      </c>
      <c r="AF128" s="140"/>
      <c r="AG128" s="99" t="str">
        <f t="shared" si="17"/>
        <v/>
      </c>
      <c r="AH128" s="140"/>
      <c r="AI128" s="99" t="str">
        <f t="shared" si="18"/>
        <v/>
      </c>
      <c r="AJ128" s="140"/>
      <c r="AK128" s="28" t="str">
        <f t="shared" si="19"/>
        <v/>
      </c>
      <c r="AL128" s="111" t="str">
        <f t="shared" si="20"/>
        <v/>
      </c>
      <c r="AM128" s="111" t="str">
        <f t="shared" si="21"/>
        <v/>
      </c>
      <c r="AN128" s="178"/>
      <c r="AO128" s="178"/>
      <c r="AP128" s="178"/>
      <c r="AQ128" s="178"/>
      <c r="AR128" s="178"/>
      <c r="AS128" s="178"/>
      <c r="AT128" s="178"/>
      <c r="AU128" s="179" t="str">
        <f>IFERROR(VLOOKUP(AT128,'Seguridad Información'!$I$61:$J$65,2,0),"")</f>
        <v/>
      </c>
      <c r="AV128" s="83"/>
      <c r="AW128" s="82" t="str">
        <f t="shared" si="12"/>
        <v/>
      </c>
      <c r="AX128" s="81" t="str">
        <f t="shared" si="22"/>
        <v/>
      </c>
      <c r="AY128" s="22" t="str">
        <f>IFERROR(VLOOKUP((CONCATENATE(AM128,AX128)),Listados!$U$3:$V$11,2,FALSE),"")</f>
        <v/>
      </c>
      <c r="AZ128" s="111">
        <f t="shared" si="23"/>
        <v>100</v>
      </c>
      <c r="BA128" s="717"/>
      <c r="BB128" s="761"/>
      <c r="BC128" s="142">
        <f>+IF(AND(W128="Preventivo",BB127="Fuerte"),2,IF(AND(W128="Preventivo",BB127="Moderado"),1,0))</f>
        <v>0</v>
      </c>
      <c r="BD128" s="68">
        <f>+IF(AND(W128="Detectivo/Correctivo",$BB127="Fuerte"),2,IF(AND(W128="Detectivo/Correctivo",$BB128="Moderado"),1,IF(AND(W128="Preventivo",$BB127="Fuerte"),1,0)))</f>
        <v>0</v>
      </c>
      <c r="BE128" s="142" t="e">
        <f>+N127-BC128</f>
        <v>#N/A</v>
      </c>
      <c r="BF128" s="142" t="e">
        <f>+P127-BD128</f>
        <v>#N/A</v>
      </c>
      <c r="BG128" s="713"/>
      <c r="BH128" s="713"/>
      <c r="BI128" s="713"/>
      <c r="BJ128" s="803"/>
      <c r="BK128" s="803"/>
      <c r="BL128" s="803"/>
      <c r="BM128" s="803"/>
    </row>
    <row r="129" spans="1:65" ht="65.150000000000006" customHeight="1" thickBot="1">
      <c r="A129" s="724"/>
      <c r="B129" s="812"/>
      <c r="C129" s="730"/>
      <c r="D129" s="158"/>
      <c r="E129" s="158"/>
      <c r="F129" s="814"/>
      <c r="G129" s="736"/>
      <c r="H129" s="105"/>
      <c r="I129" s="161"/>
      <c r="J129" s="105"/>
      <c r="K129" s="160"/>
      <c r="L129" s="150"/>
      <c r="M129" s="727"/>
      <c r="N129" s="720"/>
      <c r="O129" s="810"/>
      <c r="P129" s="720"/>
      <c r="Q129" s="715"/>
      <c r="R129" s="713"/>
      <c r="S129" s="140"/>
      <c r="T129" s="100"/>
      <c r="U129" s="52" t="s">
        <v>467</v>
      </c>
      <c r="V129" s="145"/>
      <c r="W129" s="145"/>
      <c r="X129" s="145"/>
      <c r="Y129" s="99" t="str">
        <f t="shared" si="13"/>
        <v/>
      </c>
      <c r="Z129" s="145"/>
      <c r="AA129" s="99" t="str">
        <f t="shared" si="14"/>
        <v/>
      </c>
      <c r="AB129" s="140"/>
      <c r="AC129" s="99" t="str">
        <f t="shared" si="15"/>
        <v/>
      </c>
      <c r="AD129" s="140"/>
      <c r="AE129" s="99" t="str">
        <f t="shared" si="16"/>
        <v/>
      </c>
      <c r="AF129" s="140"/>
      <c r="AG129" s="99" t="str">
        <f t="shared" si="17"/>
        <v/>
      </c>
      <c r="AH129" s="140"/>
      <c r="AI129" s="99" t="str">
        <f t="shared" si="18"/>
        <v/>
      </c>
      <c r="AJ129" s="140"/>
      <c r="AK129" s="28" t="str">
        <f t="shared" si="19"/>
        <v/>
      </c>
      <c r="AL129" s="111" t="str">
        <f t="shared" si="20"/>
        <v/>
      </c>
      <c r="AM129" s="111" t="str">
        <f t="shared" si="21"/>
        <v/>
      </c>
      <c r="AN129" s="178"/>
      <c r="AO129" s="178"/>
      <c r="AP129" s="178"/>
      <c r="AQ129" s="178"/>
      <c r="AR129" s="178"/>
      <c r="AS129" s="178"/>
      <c r="AT129" s="178"/>
      <c r="AU129" s="179" t="str">
        <f>IFERROR(VLOOKUP(AT129,'Seguridad Información'!$I$61:$J$65,2,0),"")</f>
        <v/>
      </c>
      <c r="AV129" s="83"/>
      <c r="AW129" s="82" t="str">
        <f t="shared" si="12"/>
        <v/>
      </c>
      <c r="AX129" s="81" t="str">
        <f t="shared" si="22"/>
        <v/>
      </c>
      <c r="AY129" s="22" t="str">
        <f>IFERROR(VLOOKUP((CONCATENATE(AM129,AX129)),Listados!$U$3:$V$11,2,FALSE),"")</f>
        <v/>
      </c>
      <c r="AZ129" s="111">
        <f t="shared" si="23"/>
        <v>100</v>
      </c>
      <c r="BA129" s="717"/>
      <c r="BB129" s="761"/>
      <c r="BC129" s="142">
        <f>+IF(AND(W129="Preventivo",BB127="Fuerte"),2,IF(AND(W129="Preventivo",BB127="Moderado"),1,0))</f>
        <v>0</v>
      </c>
      <c r="BD129" s="68">
        <f>+IF(AND(W129="Detectivo/Correctivo",$BB127="Fuerte"),2,IF(AND(W129="Detectivo/Correctivo",$BB129="Moderado"),1,IF(AND(W129="Preventivo",$BB127="Fuerte"),1,0)))</f>
        <v>0</v>
      </c>
      <c r="BE129" s="142" t="e">
        <f>+N127-BC129</f>
        <v>#N/A</v>
      </c>
      <c r="BF129" s="142" t="e">
        <f>+P127-BD129</f>
        <v>#N/A</v>
      </c>
      <c r="BG129" s="713"/>
      <c r="BH129" s="713"/>
      <c r="BI129" s="713"/>
      <c r="BJ129" s="803"/>
      <c r="BK129" s="803"/>
      <c r="BL129" s="803"/>
      <c r="BM129" s="803"/>
    </row>
    <row r="130" spans="1:65" ht="65.150000000000006" customHeight="1" thickBot="1">
      <c r="A130" s="724"/>
      <c r="B130" s="812"/>
      <c r="C130" s="730"/>
      <c r="D130" s="158"/>
      <c r="E130" s="158"/>
      <c r="F130" s="814"/>
      <c r="G130" s="736"/>
      <c r="H130" s="105"/>
      <c r="I130" s="161"/>
      <c r="J130" s="105"/>
      <c r="K130" s="160"/>
      <c r="L130" s="150"/>
      <c r="M130" s="727"/>
      <c r="N130" s="720"/>
      <c r="O130" s="810"/>
      <c r="P130" s="720"/>
      <c r="Q130" s="715"/>
      <c r="R130" s="713"/>
      <c r="S130" s="140"/>
      <c r="T130" s="101"/>
      <c r="U130" s="52" t="s">
        <v>467</v>
      </c>
      <c r="V130" s="145"/>
      <c r="W130" s="145"/>
      <c r="X130" s="145"/>
      <c r="Y130" s="99" t="str">
        <f t="shared" si="13"/>
        <v/>
      </c>
      <c r="Z130" s="145"/>
      <c r="AA130" s="99" t="str">
        <f t="shared" si="14"/>
        <v/>
      </c>
      <c r="AB130" s="140"/>
      <c r="AC130" s="99" t="str">
        <f t="shared" si="15"/>
        <v/>
      </c>
      <c r="AD130" s="140"/>
      <c r="AE130" s="99" t="str">
        <f t="shared" si="16"/>
        <v/>
      </c>
      <c r="AF130" s="140"/>
      <c r="AG130" s="99" t="str">
        <f t="shared" si="17"/>
        <v/>
      </c>
      <c r="AH130" s="140"/>
      <c r="AI130" s="99" t="str">
        <f t="shared" si="18"/>
        <v/>
      </c>
      <c r="AJ130" s="140"/>
      <c r="AK130" s="28" t="str">
        <f t="shared" si="19"/>
        <v/>
      </c>
      <c r="AL130" s="111" t="str">
        <f t="shared" si="20"/>
        <v/>
      </c>
      <c r="AM130" s="111" t="str">
        <f t="shared" si="21"/>
        <v/>
      </c>
      <c r="AN130" s="178"/>
      <c r="AO130" s="178"/>
      <c r="AP130" s="178"/>
      <c r="AQ130" s="178"/>
      <c r="AR130" s="178"/>
      <c r="AS130" s="178"/>
      <c r="AT130" s="178"/>
      <c r="AU130" s="179" t="str">
        <f>IFERROR(VLOOKUP(AT130,'Seguridad Información'!$I$61:$J$65,2,0),"")</f>
        <v/>
      </c>
      <c r="AV130" s="83"/>
      <c r="AW130" s="82" t="str">
        <f t="shared" si="12"/>
        <v/>
      </c>
      <c r="AX130" s="81" t="str">
        <f t="shared" si="22"/>
        <v/>
      </c>
      <c r="AY130" s="22" t="str">
        <f>IFERROR(VLOOKUP((CONCATENATE(AM130,AX130)),Listados!$U$3:$V$11,2,FALSE),"")</f>
        <v/>
      </c>
      <c r="AZ130" s="111">
        <f t="shared" si="23"/>
        <v>100</v>
      </c>
      <c r="BA130" s="717"/>
      <c r="BB130" s="761"/>
      <c r="BC130" s="142">
        <f>+IF(AND(W130="Preventivo",BB127="Fuerte"),2,IF(AND(W130="Preventivo",BB127="Moderado"),1,0))</f>
        <v>0</v>
      </c>
      <c r="BD130" s="68">
        <f>+IF(AND(W130="Detectivo/Correctivo",$BB127="Fuerte"),2,IF(AND(W130="Detectivo/Correctivo",$BB130="Moderado"),1,IF(AND(W130="Preventivo",$BB127="Fuerte"),1,0)))</f>
        <v>0</v>
      </c>
      <c r="BE130" s="142" t="e">
        <f>+N127-BC130</f>
        <v>#N/A</v>
      </c>
      <c r="BF130" s="142" t="e">
        <f>+P127-BD130</f>
        <v>#N/A</v>
      </c>
      <c r="BG130" s="713"/>
      <c r="BH130" s="713"/>
      <c r="BI130" s="713"/>
      <c r="BJ130" s="803"/>
      <c r="BK130" s="803"/>
      <c r="BL130" s="803"/>
      <c r="BM130" s="803"/>
    </row>
    <row r="131" spans="1:65" ht="65.150000000000006" customHeight="1" thickBot="1">
      <c r="A131" s="724"/>
      <c r="B131" s="812"/>
      <c r="C131" s="730"/>
      <c r="D131" s="116"/>
      <c r="E131" s="116"/>
      <c r="F131" s="814"/>
      <c r="G131" s="736"/>
      <c r="H131" s="105"/>
      <c r="I131" s="161"/>
      <c r="J131" s="105"/>
      <c r="K131" s="29"/>
      <c r="L131" s="150"/>
      <c r="M131" s="727"/>
      <c r="N131" s="720"/>
      <c r="O131" s="810"/>
      <c r="P131" s="720"/>
      <c r="Q131" s="715"/>
      <c r="R131" s="713"/>
      <c r="S131" s="140"/>
      <c r="T131" s="180"/>
      <c r="U131" s="52" t="s">
        <v>467</v>
      </c>
      <c r="V131" s="145"/>
      <c r="W131" s="145"/>
      <c r="X131" s="145"/>
      <c r="Y131" s="99" t="str">
        <f t="shared" si="13"/>
        <v/>
      </c>
      <c r="Z131" s="145"/>
      <c r="AA131" s="99" t="str">
        <f t="shared" si="14"/>
        <v/>
      </c>
      <c r="AB131" s="140"/>
      <c r="AC131" s="99" t="str">
        <f t="shared" si="15"/>
        <v/>
      </c>
      <c r="AD131" s="140"/>
      <c r="AE131" s="99" t="str">
        <f t="shared" si="16"/>
        <v/>
      </c>
      <c r="AF131" s="140"/>
      <c r="AG131" s="99" t="str">
        <f t="shared" si="17"/>
        <v/>
      </c>
      <c r="AH131" s="140"/>
      <c r="AI131" s="99" t="str">
        <f t="shared" si="18"/>
        <v/>
      </c>
      <c r="AJ131" s="140"/>
      <c r="AK131" s="28" t="str">
        <f t="shared" si="19"/>
        <v/>
      </c>
      <c r="AL131" s="111" t="str">
        <f t="shared" si="20"/>
        <v/>
      </c>
      <c r="AM131" s="111" t="str">
        <f t="shared" si="21"/>
        <v/>
      </c>
      <c r="AN131" s="178"/>
      <c r="AO131" s="178"/>
      <c r="AP131" s="178"/>
      <c r="AQ131" s="178"/>
      <c r="AR131" s="178"/>
      <c r="AS131" s="178"/>
      <c r="AT131" s="178"/>
      <c r="AU131" s="179" t="str">
        <f>IFERROR(VLOOKUP(AT131,'Seguridad Información'!$I$61:$J$65,2,0),"")</f>
        <v/>
      </c>
      <c r="AV131" s="83"/>
      <c r="AW131" s="82" t="str">
        <f t="shared" si="12"/>
        <v/>
      </c>
      <c r="AX131" s="81" t="str">
        <f t="shared" si="22"/>
        <v/>
      </c>
      <c r="AY131" s="22" t="str">
        <f>IFERROR(VLOOKUP((CONCATENATE(AM131,AX131)),Listados!$U$3:$V$11,2,FALSE),"")</f>
        <v/>
      </c>
      <c r="AZ131" s="111">
        <f t="shared" si="23"/>
        <v>100</v>
      </c>
      <c r="BA131" s="717"/>
      <c r="BB131" s="761"/>
      <c r="BC131" s="142">
        <f>+IF(AND(W131="Preventivo",BB127="Fuerte"),2,IF(AND(W131="Preventivo",BB127="Moderado"),1,0))</f>
        <v>0</v>
      </c>
      <c r="BD131" s="68">
        <f>+IF(AND(W131="Detectivo/Correctivo",$BB127="Fuerte"),2,IF(AND(W131="Detectivo/Correctivo",$BB131="Moderado"),1,IF(AND(W131="Preventivo",$BB127="Fuerte"),1,0)))</f>
        <v>0</v>
      </c>
      <c r="BE131" s="142" t="e">
        <f>+N127-BC131</f>
        <v>#N/A</v>
      </c>
      <c r="BF131" s="142" t="e">
        <f>+P127-BD131</f>
        <v>#N/A</v>
      </c>
      <c r="BG131" s="713"/>
      <c r="BH131" s="713"/>
      <c r="BI131" s="713"/>
      <c r="BJ131" s="803"/>
      <c r="BK131" s="803"/>
      <c r="BL131" s="803"/>
      <c r="BM131" s="803"/>
    </row>
    <row r="132" spans="1:65" ht="65.150000000000006" customHeight="1" thickBot="1">
      <c r="A132" s="725"/>
      <c r="B132" s="812"/>
      <c r="C132" s="731"/>
      <c r="D132" s="113"/>
      <c r="E132" s="113"/>
      <c r="F132" s="815"/>
      <c r="G132" s="781"/>
      <c r="H132" s="105"/>
      <c r="I132" s="161"/>
      <c r="J132" s="105"/>
      <c r="K132" s="30"/>
      <c r="L132" s="150"/>
      <c r="M132" s="727"/>
      <c r="N132" s="721"/>
      <c r="O132" s="810"/>
      <c r="P132" s="721"/>
      <c r="Q132" s="715"/>
      <c r="R132" s="714"/>
      <c r="S132" s="140"/>
      <c r="T132" s="102"/>
      <c r="U132" s="52" t="s">
        <v>467</v>
      </c>
      <c r="V132" s="145"/>
      <c r="W132" s="145"/>
      <c r="X132" s="145"/>
      <c r="Y132" s="99" t="str">
        <f t="shared" si="13"/>
        <v/>
      </c>
      <c r="Z132" s="145"/>
      <c r="AA132" s="99" t="str">
        <f t="shared" si="14"/>
        <v/>
      </c>
      <c r="AB132" s="140"/>
      <c r="AC132" s="99" t="str">
        <f t="shared" si="15"/>
        <v/>
      </c>
      <c r="AD132" s="140"/>
      <c r="AE132" s="99" t="str">
        <f t="shared" si="16"/>
        <v/>
      </c>
      <c r="AF132" s="140"/>
      <c r="AG132" s="99" t="str">
        <f t="shared" si="17"/>
        <v/>
      </c>
      <c r="AH132" s="140"/>
      <c r="AI132" s="99" t="str">
        <f t="shared" si="18"/>
        <v/>
      </c>
      <c r="AJ132" s="140"/>
      <c r="AK132" s="28" t="str">
        <f t="shared" si="19"/>
        <v/>
      </c>
      <c r="AL132" s="111" t="str">
        <f t="shared" si="20"/>
        <v/>
      </c>
      <c r="AM132" s="111" t="str">
        <f t="shared" si="21"/>
        <v/>
      </c>
      <c r="AN132" s="178"/>
      <c r="AO132" s="178"/>
      <c r="AP132" s="178"/>
      <c r="AQ132" s="178"/>
      <c r="AR132" s="178"/>
      <c r="AS132" s="178"/>
      <c r="AT132" s="178"/>
      <c r="AU132" s="179" t="str">
        <f>IFERROR(VLOOKUP(AT132,'Seguridad Información'!$I$61:$J$65,2,0),"")</f>
        <v/>
      </c>
      <c r="AV132" s="83"/>
      <c r="AW132" s="82" t="str">
        <f t="shared" si="12"/>
        <v/>
      </c>
      <c r="AX132" s="81" t="str">
        <f t="shared" si="22"/>
        <v/>
      </c>
      <c r="AY132" s="22" t="str">
        <f>IFERROR(VLOOKUP((CONCATENATE(AM132,AX132)),Listados!$U$3:$V$11,2,FALSE),"")</f>
        <v/>
      </c>
      <c r="AZ132" s="111">
        <f t="shared" si="23"/>
        <v>100</v>
      </c>
      <c r="BA132" s="718"/>
      <c r="BB132" s="761"/>
      <c r="BC132" s="142">
        <f>+IF(AND(W132="Preventivo",BB127="Fuerte"),2,IF(AND(W132="Preventivo",BB127="Moderado"),1,0))</f>
        <v>0</v>
      </c>
      <c r="BD132" s="68">
        <f>+IF(AND(W132="Detectivo/Correctivo",$BB127="Fuerte"),2,IF(AND(W132="Detectivo/Correctivo",$BB132="Moderado"),1,IF(AND(W132="Preventivo",$BB127="Fuerte"),1,0)))</f>
        <v>0</v>
      </c>
      <c r="BE132" s="142" t="e">
        <f>+N127-BC132</f>
        <v>#N/A</v>
      </c>
      <c r="BF132" s="142" t="e">
        <f>+P127-BD132</f>
        <v>#N/A</v>
      </c>
      <c r="BG132" s="714"/>
      <c r="BH132" s="714"/>
      <c r="BI132" s="714"/>
      <c r="BJ132" s="804"/>
      <c r="BK132" s="804"/>
      <c r="BL132" s="804"/>
      <c r="BM132" s="804"/>
    </row>
    <row r="133" spans="1:65" ht="65.150000000000006" customHeight="1" thickBot="1">
      <c r="A133" s="723">
        <v>22</v>
      </c>
      <c r="B133" s="811"/>
      <c r="C133" s="729" t="str">
        <f>IFERROR(VLOOKUP(B133,Listados!B$3:C$20,2,FALSE),"")</f>
        <v/>
      </c>
      <c r="D133" s="114"/>
      <c r="E133" s="114"/>
      <c r="F133" s="813"/>
      <c r="G133" s="735"/>
      <c r="H133" s="105"/>
      <c r="I133" s="161"/>
      <c r="J133" s="105"/>
      <c r="K133" s="109"/>
      <c r="L133" s="18"/>
      <c r="M133" s="762"/>
      <c r="N133" s="719" t="e">
        <f>+VLOOKUP(M133,Listados!$K$8:$L$12,2,0)</f>
        <v>#N/A</v>
      </c>
      <c r="O133" s="809"/>
      <c r="P133" s="719" t="e">
        <f>+VLOOKUP(O133,Listados!$K$13:$L$17,2,0)</f>
        <v>#N/A</v>
      </c>
      <c r="Q133" s="714" t="str">
        <f>IF(AND(M133&lt;&gt;"",O133&lt;&gt;""),VLOOKUP(M133&amp;O133,Listados!$M$3:$N$27,2,FALSE),"")</f>
        <v/>
      </c>
      <c r="R133" s="712" t="e">
        <f>+VLOOKUP(Q133,Listados!$P$3:$Q$6,2,FALSE)</f>
        <v>#N/A</v>
      </c>
      <c r="S133" s="140"/>
      <c r="T133" s="98"/>
      <c r="U133" s="52" t="s">
        <v>467</v>
      </c>
      <c r="V133" s="145"/>
      <c r="W133" s="145"/>
      <c r="X133" s="145"/>
      <c r="Y133" s="99" t="str">
        <f t="shared" si="13"/>
        <v/>
      </c>
      <c r="Z133" s="145"/>
      <c r="AA133" s="99" t="str">
        <f t="shared" si="14"/>
        <v/>
      </c>
      <c r="AB133" s="140"/>
      <c r="AC133" s="99" t="str">
        <f t="shared" si="15"/>
        <v/>
      </c>
      <c r="AD133" s="140"/>
      <c r="AE133" s="99" t="str">
        <f t="shared" si="16"/>
        <v/>
      </c>
      <c r="AF133" s="140"/>
      <c r="AG133" s="99" t="str">
        <f t="shared" si="17"/>
        <v/>
      </c>
      <c r="AH133" s="140"/>
      <c r="AI133" s="99" t="str">
        <f t="shared" si="18"/>
        <v/>
      </c>
      <c r="AJ133" s="140"/>
      <c r="AK133" s="28" t="str">
        <f t="shared" si="19"/>
        <v/>
      </c>
      <c r="AL133" s="111" t="str">
        <f t="shared" si="20"/>
        <v/>
      </c>
      <c r="AM133" s="111" t="str">
        <f t="shared" si="21"/>
        <v/>
      </c>
      <c r="AN133" s="178"/>
      <c r="AO133" s="178"/>
      <c r="AP133" s="178"/>
      <c r="AQ133" s="178"/>
      <c r="AR133" s="178"/>
      <c r="AS133" s="178"/>
      <c r="AT133" s="178"/>
      <c r="AU133" s="179" t="str">
        <f>IFERROR(VLOOKUP(AT133,'Seguridad Información'!$I$61:$J$65,2,0),"")</f>
        <v/>
      </c>
      <c r="AV133" s="83"/>
      <c r="AW133" s="82" t="str">
        <f t="shared" si="12"/>
        <v/>
      </c>
      <c r="AX133" s="81" t="str">
        <f t="shared" si="22"/>
        <v/>
      </c>
      <c r="AY133" s="22" t="str">
        <f>IFERROR(VLOOKUP((CONCATENATE(AM133,AX133)),Listados!$U$3:$V$11,2,FALSE),"")</f>
        <v/>
      </c>
      <c r="AZ133" s="111">
        <f t="shared" si="23"/>
        <v>100</v>
      </c>
      <c r="BA133" s="716">
        <f>AVERAGE(AZ133:AZ138)</f>
        <v>100</v>
      </c>
      <c r="BB133" s="718" t="str">
        <f>IF(BA133&lt;=50, "Débil", IF(BA133&lt;=99,"Moderado","Fuerte"))</f>
        <v>Fuerte</v>
      </c>
      <c r="BC133" s="142">
        <f>+IF(AND(W133="Preventivo",BB133="Fuerte"),2,IF(AND(W133="Preventivo",BB133="Moderado"),1,0))</f>
        <v>0</v>
      </c>
      <c r="BD133" s="68">
        <f>+IF(AND(W133="Detectivo/Correctivo",$BB133="Fuerte"),2,IF(AND(W133="Detectivo/Correctivo",$BB133="Moderado"),1,IF(AND(W133="Preventivo",$BB133="Fuerte"),1,0)))</f>
        <v>0</v>
      </c>
      <c r="BE133" s="142" t="e">
        <f>+N133-BC133</f>
        <v>#N/A</v>
      </c>
      <c r="BF133" s="142" t="e">
        <f>+P133-BD133</f>
        <v>#N/A</v>
      </c>
      <c r="BG133" s="712" t="e">
        <f>+VLOOKUP(MIN(BE133,BE134,BE135,BE136,BE137,BE138),Listados!$J$18:$K$24,2,TRUE)</f>
        <v>#N/A</v>
      </c>
      <c r="BH133" s="712" t="e">
        <f>+VLOOKUP(MIN(BF133,BF134,BF135,BF136,BF137,BF138),Listados!$J$27:$K$32,2,TRUE)</f>
        <v>#N/A</v>
      </c>
      <c r="BI133" s="712" t="e">
        <f>IF(AND(BG133&lt;&gt;"",BH133&lt;&gt;""),VLOOKUP(BG133&amp;BH133,Listados!$M$3:$N$27,2,FALSE),"")</f>
        <v>#N/A</v>
      </c>
      <c r="BJ133" s="802" t="e">
        <f>+IF($R133="Asumir el riesgo","NA","")</f>
        <v>#N/A</v>
      </c>
      <c r="BK133" s="802" t="e">
        <f>+IF($R133="Asumir el riesgo","NA","")</f>
        <v>#N/A</v>
      </c>
      <c r="BL133" s="802" t="e">
        <f>+IF($R133="Asumir el riesgo","NA","")</f>
        <v>#N/A</v>
      </c>
      <c r="BM133" s="802" t="e">
        <f>+IF($R133="Asumir el riesgo","NA","")</f>
        <v>#N/A</v>
      </c>
    </row>
    <row r="134" spans="1:65" ht="65.150000000000006" customHeight="1" thickBot="1">
      <c r="A134" s="724"/>
      <c r="B134" s="812"/>
      <c r="C134" s="730"/>
      <c r="D134" s="158"/>
      <c r="E134" s="158"/>
      <c r="F134" s="814"/>
      <c r="G134" s="736"/>
      <c r="H134" s="105"/>
      <c r="I134" s="161"/>
      <c r="J134" s="105"/>
      <c r="K134" s="160"/>
      <c r="L134" s="150"/>
      <c r="M134" s="727"/>
      <c r="N134" s="720"/>
      <c r="O134" s="810"/>
      <c r="P134" s="720"/>
      <c r="Q134" s="715"/>
      <c r="R134" s="713"/>
      <c r="S134" s="140"/>
      <c r="T134" s="180"/>
      <c r="U134" s="52" t="s">
        <v>467</v>
      </c>
      <c r="V134" s="145"/>
      <c r="W134" s="145"/>
      <c r="X134" s="145"/>
      <c r="Y134" s="99" t="str">
        <f t="shared" si="13"/>
        <v/>
      </c>
      <c r="Z134" s="145"/>
      <c r="AA134" s="99" t="str">
        <f t="shared" si="14"/>
        <v/>
      </c>
      <c r="AB134" s="140"/>
      <c r="AC134" s="99" t="str">
        <f t="shared" si="15"/>
        <v/>
      </c>
      <c r="AD134" s="140"/>
      <c r="AE134" s="99" t="str">
        <f t="shared" si="16"/>
        <v/>
      </c>
      <c r="AF134" s="140"/>
      <c r="AG134" s="99" t="str">
        <f t="shared" si="17"/>
        <v/>
      </c>
      <c r="AH134" s="140"/>
      <c r="AI134" s="99" t="str">
        <f t="shared" si="18"/>
        <v/>
      </c>
      <c r="AJ134" s="140"/>
      <c r="AK134" s="28" t="str">
        <f t="shared" si="19"/>
        <v/>
      </c>
      <c r="AL134" s="111" t="str">
        <f t="shared" si="20"/>
        <v/>
      </c>
      <c r="AM134" s="111" t="str">
        <f t="shared" si="21"/>
        <v/>
      </c>
      <c r="AN134" s="178"/>
      <c r="AO134" s="178"/>
      <c r="AP134" s="178"/>
      <c r="AQ134" s="178"/>
      <c r="AR134" s="178"/>
      <c r="AS134" s="178"/>
      <c r="AT134" s="178"/>
      <c r="AU134" s="179" t="str">
        <f>IFERROR(VLOOKUP(AT134,'Seguridad Información'!$I$61:$J$65,2,0),"")</f>
        <v/>
      </c>
      <c r="AV134" s="83"/>
      <c r="AW134" s="82" t="str">
        <f t="shared" si="12"/>
        <v/>
      </c>
      <c r="AX134" s="81" t="str">
        <f t="shared" si="22"/>
        <v/>
      </c>
      <c r="AY134" s="22" t="str">
        <f>IFERROR(VLOOKUP((CONCATENATE(AM134,AX134)),Listados!$U$3:$V$11,2,FALSE),"")</f>
        <v/>
      </c>
      <c r="AZ134" s="111">
        <f t="shared" si="23"/>
        <v>100</v>
      </c>
      <c r="BA134" s="717"/>
      <c r="BB134" s="761"/>
      <c r="BC134" s="142">
        <f>+IF(AND(W134="Preventivo",BB133="Fuerte"),2,IF(AND(W134="Preventivo",BB133="Moderado"),1,0))</f>
        <v>0</v>
      </c>
      <c r="BD134" s="68">
        <f>+IF(AND(W134="Detectivo/Correctivo",$BB133="Fuerte"),2,IF(AND(W134="Detectivo/Correctivo",$BB134="Moderado"),1,IF(AND(W134="Preventivo",$BB133="Fuerte"),1,0)))</f>
        <v>0</v>
      </c>
      <c r="BE134" s="142" t="e">
        <f>+N133-BC134</f>
        <v>#N/A</v>
      </c>
      <c r="BF134" s="142" t="e">
        <f>+P133-BD134</f>
        <v>#N/A</v>
      </c>
      <c r="BG134" s="713"/>
      <c r="BH134" s="713"/>
      <c r="BI134" s="713"/>
      <c r="BJ134" s="803"/>
      <c r="BK134" s="803"/>
      <c r="BL134" s="803"/>
      <c r="BM134" s="803"/>
    </row>
    <row r="135" spans="1:65" ht="65.150000000000006" customHeight="1" thickBot="1">
      <c r="A135" s="724"/>
      <c r="B135" s="812"/>
      <c r="C135" s="730"/>
      <c r="D135" s="158"/>
      <c r="E135" s="158"/>
      <c r="F135" s="814"/>
      <c r="G135" s="736"/>
      <c r="H135" s="105"/>
      <c r="I135" s="161"/>
      <c r="J135" s="105"/>
      <c r="K135" s="160"/>
      <c r="L135" s="150"/>
      <c r="M135" s="727"/>
      <c r="N135" s="720"/>
      <c r="O135" s="810"/>
      <c r="P135" s="720"/>
      <c r="Q135" s="715"/>
      <c r="R135" s="713"/>
      <c r="S135" s="140"/>
      <c r="T135" s="100"/>
      <c r="U135" s="52" t="s">
        <v>467</v>
      </c>
      <c r="V135" s="145"/>
      <c r="W135" s="145"/>
      <c r="X135" s="145"/>
      <c r="Y135" s="99" t="str">
        <f t="shared" si="13"/>
        <v/>
      </c>
      <c r="Z135" s="145"/>
      <c r="AA135" s="99" t="str">
        <f t="shared" si="14"/>
        <v/>
      </c>
      <c r="AB135" s="140"/>
      <c r="AC135" s="99" t="str">
        <f t="shared" si="15"/>
        <v/>
      </c>
      <c r="AD135" s="140"/>
      <c r="AE135" s="99" t="str">
        <f t="shared" si="16"/>
        <v/>
      </c>
      <c r="AF135" s="140"/>
      <c r="AG135" s="99" t="str">
        <f t="shared" si="17"/>
        <v/>
      </c>
      <c r="AH135" s="140"/>
      <c r="AI135" s="99" t="str">
        <f t="shared" si="18"/>
        <v/>
      </c>
      <c r="AJ135" s="140"/>
      <c r="AK135" s="28" t="str">
        <f t="shared" si="19"/>
        <v/>
      </c>
      <c r="AL135" s="111" t="str">
        <f t="shared" si="20"/>
        <v/>
      </c>
      <c r="AM135" s="111" t="str">
        <f t="shared" si="21"/>
        <v/>
      </c>
      <c r="AN135" s="178"/>
      <c r="AO135" s="178"/>
      <c r="AP135" s="178"/>
      <c r="AQ135" s="178"/>
      <c r="AR135" s="178"/>
      <c r="AS135" s="178"/>
      <c r="AT135" s="178"/>
      <c r="AU135" s="179" t="str">
        <f>IFERROR(VLOOKUP(AT135,'Seguridad Información'!$I$61:$J$65,2,0),"")</f>
        <v/>
      </c>
      <c r="AV135" s="83"/>
      <c r="AW135" s="82" t="str">
        <f t="shared" ref="AW135:AW198" si="24">IFERROR(AVERAGE(AO135,AQ135,AS135,AU135),"")</f>
        <v/>
      </c>
      <c r="AX135" s="81" t="str">
        <f t="shared" si="22"/>
        <v/>
      </c>
      <c r="AY135" s="22" t="str">
        <f>IFERROR(VLOOKUP((CONCATENATE(AM135,AX135)),Listados!$U$3:$V$11,2,FALSE),"")</f>
        <v/>
      </c>
      <c r="AZ135" s="111">
        <f t="shared" si="23"/>
        <v>100</v>
      </c>
      <c r="BA135" s="717"/>
      <c r="BB135" s="761"/>
      <c r="BC135" s="142">
        <f>+IF(AND(W135="Preventivo",BB133="Fuerte"),2,IF(AND(W135="Preventivo",BB133="Moderado"),1,0))</f>
        <v>0</v>
      </c>
      <c r="BD135" s="68">
        <f>+IF(AND(W135="Detectivo/Correctivo",$BB133="Fuerte"),2,IF(AND(W135="Detectivo/Correctivo",$BB135="Moderado"),1,IF(AND(W135="Preventivo",$BB133="Fuerte"),1,0)))</f>
        <v>0</v>
      </c>
      <c r="BE135" s="142" t="e">
        <f>+N133-BC135</f>
        <v>#N/A</v>
      </c>
      <c r="BF135" s="142" t="e">
        <f>+P133-BD135</f>
        <v>#N/A</v>
      </c>
      <c r="BG135" s="713"/>
      <c r="BH135" s="713"/>
      <c r="BI135" s="713"/>
      <c r="BJ135" s="803"/>
      <c r="BK135" s="803"/>
      <c r="BL135" s="803"/>
      <c r="BM135" s="803"/>
    </row>
    <row r="136" spans="1:65" ht="65.150000000000006" customHeight="1" thickBot="1">
      <c r="A136" s="724"/>
      <c r="B136" s="812"/>
      <c r="C136" s="730"/>
      <c r="D136" s="158"/>
      <c r="E136" s="158"/>
      <c r="F136" s="814"/>
      <c r="G136" s="736"/>
      <c r="H136" s="105"/>
      <c r="I136" s="161"/>
      <c r="J136" s="105"/>
      <c r="K136" s="160"/>
      <c r="L136" s="150"/>
      <c r="M136" s="727"/>
      <c r="N136" s="720"/>
      <c r="O136" s="810"/>
      <c r="P136" s="720"/>
      <c r="Q136" s="715"/>
      <c r="R136" s="713"/>
      <c r="S136" s="140"/>
      <c r="T136" s="101"/>
      <c r="U136" s="52" t="s">
        <v>467</v>
      </c>
      <c r="V136" s="145"/>
      <c r="W136" s="145"/>
      <c r="X136" s="145"/>
      <c r="Y136" s="99" t="str">
        <f t="shared" ref="Y136:Y199" si="25">+IF(X136="si",15,"")</f>
        <v/>
      </c>
      <c r="Z136" s="145"/>
      <c r="AA136" s="99" t="str">
        <f t="shared" ref="AA136:AA199" si="26">+IF(Z136="si",15,"")</f>
        <v/>
      </c>
      <c r="AB136" s="140"/>
      <c r="AC136" s="99" t="str">
        <f t="shared" ref="AC136:AC199" si="27">+IF(AB136="si",15,"")</f>
        <v/>
      </c>
      <c r="AD136" s="140"/>
      <c r="AE136" s="99" t="str">
        <f t="shared" ref="AE136:AE199" si="28">+IF(AD136="si",15,"")</f>
        <v/>
      </c>
      <c r="AF136" s="140"/>
      <c r="AG136" s="99" t="str">
        <f t="shared" ref="AG136:AG199" si="29">+IF(AF136="si",15,"")</f>
        <v/>
      </c>
      <c r="AH136" s="140"/>
      <c r="AI136" s="99" t="str">
        <f t="shared" ref="AI136:AI199" si="30">+IF(AH136="si",15,"")</f>
        <v/>
      </c>
      <c r="AJ136" s="140"/>
      <c r="AK136" s="28" t="str">
        <f t="shared" ref="AK136:AK199" si="31">+IF(AJ136="Completa",10,IF(AJ136="Incompleta",5,""))</f>
        <v/>
      </c>
      <c r="AL136" s="111" t="str">
        <f t="shared" ref="AL136:AL199" si="32">IF((SUM(Y136,AA136,AC136,AE136,AG136,AI136,AK136)=0),"",(SUM(Y136,AA136,AC136,AE136,AG136,AI136,AK136)))</f>
        <v/>
      </c>
      <c r="AM136" s="111" t="str">
        <f t="shared" ref="AM136:AM199" si="33">IF(AL136&lt;=85,"Débil",IF(AL136&lt;=95,"Moderado",IF(AL136=100,"Fuerte","")))</f>
        <v/>
      </c>
      <c r="AN136" s="178"/>
      <c r="AO136" s="178"/>
      <c r="AP136" s="178"/>
      <c r="AQ136" s="178"/>
      <c r="AR136" s="178"/>
      <c r="AS136" s="178"/>
      <c r="AT136" s="178"/>
      <c r="AU136" s="179" t="str">
        <f>IFERROR(VLOOKUP(AT136,'Seguridad Información'!$I$61:$J$65,2,0),"")</f>
        <v/>
      </c>
      <c r="AV136" s="83"/>
      <c r="AW136" s="82" t="str">
        <f t="shared" si="24"/>
        <v/>
      </c>
      <c r="AX136" s="81" t="str">
        <f t="shared" ref="AX136:AX199" si="34">IF(AW136&lt;=80,"Débil",IF(AW136&lt;=90,"Moderado",IF(AW136=100,"Fuerte","")))</f>
        <v/>
      </c>
      <c r="AY136" s="22" t="str">
        <f>IFERROR(VLOOKUP((CONCATENATE(AM136,AX136)),Listados!$U$3:$V$11,2,FALSE),"")</f>
        <v/>
      </c>
      <c r="AZ136" s="111">
        <f t="shared" si="23"/>
        <v>100</v>
      </c>
      <c r="BA136" s="717"/>
      <c r="BB136" s="761"/>
      <c r="BC136" s="142">
        <f>+IF(AND(W136="Preventivo",BB133="Fuerte"),2,IF(AND(W136="Preventivo",BB133="Moderado"),1,0))</f>
        <v>0</v>
      </c>
      <c r="BD136" s="68">
        <f>+IF(AND(W136="Detectivo/Correctivo",$BB133="Fuerte"),2,IF(AND(W136="Detectivo/Correctivo",$BB136="Moderado"),1,IF(AND(W136="Preventivo",$BB133="Fuerte"),1,0)))</f>
        <v>0</v>
      </c>
      <c r="BE136" s="142" t="e">
        <f>+N133-BC136</f>
        <v>#N/A</v>
      </c>
      <c r="BF136" s="142" t="e">
        <f>+P133-BD136</f>
        <v>#N/A</v>
      </c>
      <c r="BG136" s="713"/>
      <c r="BH136" s="713"/>
      <c r="BI136" s="713"/>
      <c r="BJ136" s="803"/>
      <c r="BK136" s="803"/>
      <c r="BL136" s="803"/>
      <c r="BM136" s="803"/>
    </row>
    <row r="137" spans="1:65" ht="65.150000000000006" customHeight="1" thickBot="1">
      <c r="A137" s="724"/>
      <c r="B137" s="812"/>
      <c r="C137" s="730"/>
      <c r="D137" s="116"/>
      <c r="E137" s="116"/>
      <c r="F137" s="814"/>
      <c r="G137" s="736"/>
      <c r="H137" s="105"/>
      <c r="I137" s="161"/>
      <c r="J137" s="105"/>
      <c r="K137" s="29"/>
      <c r="L137" s="150"/>
      <c r="M137" s="727"/>
      <c r="N137" s="720"/>
      <c r="O137" s="810"/>
      <c r="P137" s="720"/>
      <c r="Q137" s="715"/>
      <c r="R137" s="713"/>
      <c r="S137" s="140"/>
      <c r="T137" s="180"/>
      <c r="U137" s="52" t="s">
        <v>467</v>
      </c>
      <c r="V137" s="145"/>
      <c r="W137" s="145"/>
      <c r="X137" s="145"/>
      <c r="Y137" s="99" t="str">
        <f t="shared" si="25"/>
        <v/>
      </c>
      <c r="Z137" s="145"/>
      <c r="AA137" s="99" t="str">
        <f t="shared" si="26"/>
        <v/>
      </c>
      <c r="AB137" s="140"/>
      <c r="AC137" s="99" t="str">
        <f t="shared" si="27"/>
        <v/>
      </c>
      <c r="AD137" s="140"/>
      <c r="AE137" s="99" t="str">
        <f t="shared" si="28"/>
        <v/>
      </c>
      <c r="AF137" s="140"/>
      <c r="AG137" s="99" t="str">
        <f t="shared" si="29"/>
        <v/>
      </c>
      <c r="AH137" s="140"/>
      <c r="AI137" s="99" t="str">
        <f t="shared" si="30"/>
        <v/>
      </c>
      <c r="AJ137" s="140"/>
      <c r="AK137" s="28" t="str">
        <f t="shared" si="31"/>
        <v/>
      </c>
      <c r="AL137" s="111" t="str">
        <f t="shared" si="32"/>
        <v/>
      </c>
      <c r="AM137" s="111" t="str">
        <f t="shared" si="33"/>
        <v/>
      </c>
      <c r="AN137" s="178"/>
      <c r="AO137" s="178"/>
      <c r="AP137" s="178"/>
      <c r="AQ137" s="178"/>
      <c r="AR137" s="178"/>
      <c r="AS137" s="178"/>
      <c r="AT137" s="178"/>
      <c r="AU137" s="179" t="str">
        <f>IFERROR(VLOOKUP(AT137,'Seguridad Información'!$I$61:$J$65,2,0),"")</f>
        <v/>
      </c>
      <c r="AV137" s="83"/>
      <c r="AW137" s="82" t="str">
        <f t="shared" si="24"/>
        <v/>
      </c>
      <c r="AX137" s="81" t="str">
        <f t="shared" si="34"/>
        <v/>
      </c>
      <c r="AY137" s="22" t="str">
        <f>IFERROR(VLOOKUP((CONCATENATE(AM137,AX137)),Listados!$U$3:$V$11,2,FALSE),"")</f>
        <v/>
      </c>
      <c r="AZ137" s="111">
        <f t="shared" ref="AZ137:AZ200" si="35">IF(ISBLANK(AY137),"",IF(AY137="Débil", 0, IF(AY137="Moderado",50,100)))</f>
        <v>100</v>
      </c>
      <c r="BA137" s="717"/>
      <c r="BB137" s="761"/>
      <c r="BC137" s="142">
        <f>+IF(AND(W137="Preventivo",BB133="Fuerte"),2,IF(AND(W137="Preventivo",BB133="Moderado"),1,0))</f>
        <v>0</v>
      </c>
      <c r="BD137" s="68">
        <f>+IF(AND(W137="Detectivo/Correctivo",$BB133="Fuerte"),2,IF(AND(W137="Detectivo/Correctivo",$BB137="Moderado"),1,IF(AND(W137="Preventivo",$BB133="Fuerte"),1,0)))</f>
        <v>0</v>
      </c>
      <c r="BE137" s="142" t="e">
        <f>+N133-BC137</f>
        <v>#N/A</v>
      </c>
      <c r="BF137" s="142" t="e">
        <f>+P133-BD137</f>
        <v>#N/A</v>
      </c>
      <c r="BG137" s="713"/>
      <c r="BH137" s="713"/>
      <c r="BI137" s="713"/>
      <c r="BJ137" s="803"/>
      <c r="BK137" s="803"/>
      <c r="BL137" s="803"/>
      <c r="BM137" s="803"/>
    </row>
    <row r="138" spans="1:65" ht="65.150000000000006" customHeight="1" thickBot="1">
      <c r="A138" s="725"/>
      <c r="B138" s="812"/>
      <c r="C138" s="731"/>
      <c r="D138" s="113"/>
      <c r="E138" s="113"/>
      <c r="F138" s="815"/>
      <c r="G138" s="781"/>
      <c r="H138" s="105"/>
      <c r="I138" s="161"/>
      <c r="J138" s="105"/>
      <c r="K138" s="30"/>
      <c r="L138" s="150"/>
      <c r="M138" s="727"/>
      <c r="N138" s="721"/>
      <c r="O138" s="810"/>
      <c r="P138" s="721"/>
      <c r="Q138" s="715"/>
      <c r="R138" s="714"/>
      <c r="S138" s="140"/>
      <c r="T138" s="102"/>
      <c r="U138" s="52" t="s">
        <v>467</v>
      </c>
      <c r="V138" s="145"/>
      <c r="W138" s="145"/>
      <c r="X138" s="145"/>
      <c r="Y138" s="99" t="str">
        <f t="shared" si="25"/>
        <v/>
      </c>
      <c r="Z138" s="145"/>
      <c r="AA138" s="99" t="str">
        <f t="shared" si="26"/>
        <v/>
      </c>
      <c r="AB138" s="140"/>
      <c r="AC138" s="99" t="str">
        <f t="shared" si="27"/>
        <v/>
      </c>
      <c r="AD138" s="140"/>
      <c r="AE138" s="99" t="str">
        <f t="shared" si="28"/>
        <v/>
      </c>
      <c r="AF138" s="140"/>
      <c r="AG138" s="99" t="str">
        <f t="shared" si="29"/>
        <v/>
      </c>
      <c r="AH138" s="140"/>
      <c r="AI138" s="99" t="str">
        <f t="shared" si="30"/>
        <v/>
      </c>
      <c r="AJ138" s="140"/>
      <c r="AK138" s="28" t="str">
        <f t="shared" si="31"/>
        <v/>
      </c>
      <c r="AL138" s="111" t="str">
        <f t="shared" si="32"/>
        <v/>
      </c>
      <c r="AM138" s="111" t="str">
        <f t="shared" si="33"/>
        <v/>
      </c>
      <c r="AN138" s="178"/>
      <c r="AO138" s="178"/>
      <c r="AP138" s="178"/>
      <c r="AQ138" s="178"/>
      <c r="AR138" s="178"/>
      <c r="AS138" s="178"/>
      <c r="AT138" s="178"/>
      <c r="AU138" s="179" t="str">
        <f>IFERROR(VLOOKUP(AT138,'Seguridad Información'!$I$61:$J$65,2,0),"")</f>
        <v/>
      </c>
      <c r="AV138" s="83"/>
      <c r="AW138" s="82" t="str">
        <f t="shared" si="24"/>
        <v/>
      </c>
      <c r="AX138" s="81" t="str">
        <f t="shared" si="34"/>
        <v/>
      </c>
      <c r="AY138" s="22" t="str">
        <f>IFERROR(VLOOKUP((CONCATENATE(AM138,AX138)),Listados!$U$3:$V$11,2,FALSE),"")</f>
        <v/>
      </c>
      <c r="AZ138" s="111">
        <f t="shared" si="35"/>
        <v>100</v>
      </c>
      <c r="BA138" s="718"/>
      <c r="BB138" s="761"/>
      <c r="BC138" s="142">
        <f>+IF(AND(W138="Preventivo",BB133="Fuerte"),2,IF(AND(W138="Preventivo",BB133="Moderado"),1,0))</f>
        <v>0</v>
      </c>
      <c r="BD138" s="68">
        <f>+IF(AND(W138="Detectivo/Correctivo",$BB133="Fuerte"),2,IF(AND(W138="Detectivo/Correctivo",$BB138="Moderado"),1,IF(AND(W138="Preventivo",$BB133="Fuerte"),1,0)))</f>
        <v>0</v>
      </c>
      <c r="BE138" s="142" t="e">
        <f>+N133-BC138</f>
        <v>#N/A</v>
      </c>
      <c r="BF138" s="142" t="e">
        <f>+P133-BD138</f>
        <v>#N/A</v>
      </c>
      <c r="BG138" s="714"/>
      <c r="BH138" s="714"/>
      <c r="BI138" s="714"/>
      <c r="BJ138" s="804"/>
      <c r="BK138" s="804"/>
      <c r="BL138" s="804"/>
      <c r="BM138" s="804"/>
    </row>
    <row r="139" spans="1:65" ht="65.150000000000006" customHeight="1" thickBot="1">
      <c r="A139" s="723">
        <v>23</v>
      </c>
      <c r="B139" s="811"/>
      <c r="C139" s="729" t="str">
        <f>IFERROR(VLOOKUP(B139,Listados!B$3:C$20,2,FALSE),"")</f>
        <v/>
      </c>
      <c r="D139" s="114"/>
      <c r="E139" s="114"/>
      <c r="F139" s="813"/>
      <c r="G139" s="735"/>
      <c r="H139" s="105"/>
      <c r="I139" s="161"/>
      <c r="J139" s="105"/>
      <c r="K139" s="109"/>
      <c r="L139" s="18"/>
      <c r="M139" s="762"/>
      <c r="N139" s="719" t="e">
        <f>+VLOOKUP(M139,Listados!$K$8:$L$12,2,0)</f>
        <v>#N/A</v>
      </c>
      <c r="O139" s="809"/>
      <c r="P139" s="719" t="e">
        <f>+VLOOKUP(O139,Listados!$K$13:$L$17,2,0)</f>
        <v>#N/A</v>
      </c>
      <c r="Q139" s="714" t="str">
        <f>IF(AND(M139&lt;&gt;"",O139&lt;&gt;""),VLOOKUP(M139&amp;O139,Listados!$M$3:$N$27,2,FALSE),"")</f>
        <v/>
      </c>
      <c r="R139" s="712" t="e">
        <f>+VLOOKUP(Q139,Listados!$P$3:$Q$6,2,FALSE)</f>
        <v>#N/A</v>
      </c>
      <c r="S139" s="140"/>
      <c r="T139" s="98"/>
      <c r="U139" s="52" t="s">
        <v>467</v>
      </c>
      <c r="V139" s="145"/>
      <c r="W139" s="145"/>
      <c r="X139" s="145"/>
      <c r="Y139" s="99" t="str">
        <f t="shared" si="25"/>
        <v/>
      </c>
      <c r="Z139" s="145"/>
      <c r="AA139" s="99" t="str">
        <f t="shared" si="26"/>
        <v/>
      </c>
      <c r="AB139" s="140"/>
      <c r="AC139" s="99" t="str">
        <f t="shared" si="27"/>
        <v/>
      </c>
      <c r="AD139" s="140"/>
      <c r="AE139" s="99" t="str">
        <f t="shared" si="28"/>
        <v/>
      </c>
      <c r="AF139" s="140"/>
      <c r="AG139" s="99" t="str">
        <f t="shared" si="29"/>
        <v/>
      </c>
      <c r="AH139" s="140"/>
      <c r="AI139" s="99" t="str">
        <f t="shared" si="30"/>
        <v/>
      </c>
      <c r="AJ139" s="140"/>
      <c r="AK139" s="28" t="str">
        <f t="shared" si="31"/>
        <v/>
      </c>
      <c r="AL139" s="111" t="str">
        <f t="shared" si="32"/>
        <v/>
      </c>
      <c r="AM139" s="111" t="str">
        <f t="shared" si="33"/>
        <v/>
      </c>
      <c r="AN139" s="178"/>
      <c r="AO139" s="178"/>
      <c r="AP139" s="178"/>
      <c r="AQ139" s="178"/>
      <c r="AR139" s="178"/>
      <c r="AS139" s="178"/>
      <c r="AT139" s="178"/>
      <c r="AU139" s="179" t="str">
        <f>IFERROR(VLOOKUP(AT139,'Seguridad Información'!$I$61:$J$65,2,0),"")</f>
        <v/>
      </c>
      <c r="AV139" s="83"/>
      <c r="AW139" s="82" t="str">
        <f t="shared" si="24"/>
        <v/>
      </c>
      <c r="AX139" s="81" t="str">
        <f t="shared" si="34"/>
        <v/>
      </c>
      <c r="AY139" s="22" t="str">
        <f>IFERROR(VLOOKUP((CONCATENATE(AM139,AX139)),Listados!$U$3:$V$11,2,FALSE),"")</f>
        <v/>
      </c>
      <c r="AZ139" s="111">
        <f t="shared" si="35"/>
        <v>100</v>
      </c>
      <c r="BA139" s="716">
        <f>AVERAGE(AZ139:AZ144)</f>
        <v>100</v>
      </c>
      <c r="BB139" s="718" t="str">
        <f>IF(BA139&lt;=50, "Débil", IF(BA139&lt;=99,"Moderado","Fuerte"))</f>
        <v>Fuerte</v>
      </c>
      <c r="BC139" s="142">
        <f>+IF(AND(W139="Preventivo",BB139="Fuerte"),2,IF(AND(W139="Preventivo",BB139="Moderado"),1,0))</f>
        <v>0</v>
      </c>
      <c r="BD139" s="68">
        <f>+IF(AND(W139="Detectivo/Correctivo",$BB139="Fuerte"),2,IF(AND(W139="Detectivo/Correctivo",$BB139="Moderado"),1,IF(AND(W139="Preventivo",$BB139="Fuerte"),1,0)))</f>
        <v>0</v>
      </c>
      <c r="BE139" s="142" t="e">
        <f>+N139-BC139</f>
        <v>#N/A</v>
      </c>
      <c r="BF139" s="142" t="e">
        <f>+P139-BD139</f>
        <v>#N/A</v>
      </c>
      <c r="BG139" s="712" t="e">
        <f>+VLOOKUP(MIN(BE139,BE140,BE141,BE142,BE143,BE144),Listados!$J$18:$K$24,2,TRUE)</f>
        <v>#N/A</v>
      </c>
      <c r="BH139" s="712" t="e">
        <f>+VLOOKUP(MIN(BF139,BF140,BF141,BF142,BF143,BF144),Listados!$J$27:$K$32,2,TRUE)</f>
        <v>#N/A</v>
      </c>
      <c r="BI139" s="712" t="e">
        <f>IF(AND(BG139&lt;&gt;"",BH139&lt;&gt;""),VLOOKUP(BG139&amp;BH139,Listados!$M$3:$N$27,2,FALSE),"")</f>
        <v>#N/A</v>
      </c>
      <c r="BJ139" s="802" t="e">
        <f>+IF($R139="Asumir el riesgo","NA","")</f>
        <v>#N/A</v>
      </c>
      <c r="BK139" s="802" t="e">
        <f>+IF($R139="Asumir el riesgo","NA","")</f>
        <v>#N/A</v>
      </c>
      <c r="BL139" s="802" t="e">
        <f>+IF($R139="Asumir el riesgo","NA","")</f>
        <v>#N/A</v>
      </c>
      <c r="BM139" s="802" t="e">
        <f>+IF($R139="Asumir el riesgo","NA","")</f>
        <v>#N/A</v>
      </c>
    </row>
    <row r="140" spans="1:65" ht="65.150000000000006" customHeight="1" thickBot="1">
      <c r="A140" s="724"/>
      <c r="B140" s="812"/>
      <c r="C140" s="730"/>
      <c r="D140" s="158"/>
      <c r="E140" s="158"/>
      <c r="F140" s="814"/>
      <c r="G140" s="736"/>
      <c r="H140" s="105"/>
      <c r="I140" s="161"/>
      <c r="J140" s="105"/>
      <c r="K140" s="160"/>
      <c r="L140" s="150"/>
      <c r="M140" s="727"/>
      <c r="N140" s="720"/>
      <c r="O140" s="810"/>
      <c r="P140" s="720"/>
      <c r="Q140" s="715"/>
      <c r="R140" s="713"/>
      <c r="S140" s="140"/>
      <c r="T140" s="180"/>
      <c r="U140" s="52" t="s">
        <v>467</v>
      </c>
      <c r="V140" s="145"/>
      <c r="W140" s="145"/>
      <c r="X140" s="145"/>
      <c r="Y140" s="99" t="str">
        <f t="shared" si="25"/>
        <v/>
      </c>
      <c r="Z140" s="145"/>
      <c r="AA140" s="99" t="str">
        <f t="shared" si="26"/>
        <v/>
      </c>
      <c r="AB140" s="140"/>
      <c r="AC140" s="99" t="str">
        <f t="shared" si="27"/>
        <v/>
      </c>
      <c r="AD140" s="140"/>
      <c r="AE140" s="99" t="str">
        <f t="shared" si="28"/>
        <v/>
      </c>
      <c r="AF140" s="140"/>
      <c r="AG140" s="99" t="str">
        <f t="shared" si="29"/>
        <v/>
      </c>
      <c r="AH140" s="140"/>
      <c r="AI140" s="99" t="str">
        <f t="shared" si="30"/>
        <v/>
      </c>
      <c r="AJ140" s="140"/>
      <c r="AK140" s="28" t="str">
        <f t="shared" si="31"/>
        <v/>
      </c>
      <c r="AL140" s="111" t="str">
        <f t="shared" si="32"/>
        <v/>
      </c>
      <c r="AM140" s="111" t="str">
        <f t="shared" si="33"/>
        <v/>
      </c>
      <c r="AN140" s="178"/>
      <c r="AO140" s="178"/>
      <c r="AP140" s="178"/>
      <c r="AQ140" s="178"/>
      <c r="AR140" s="178"/>
      <c r="AS140" s="178"/>
      <c r="AT140" s="178"/>
      <c r="AU140" s="179" t="str">
        <f>IFERROR(VLOOKUP(AT140,'Seguridad Información'!$I$61:$J$65,2,0),"")</f>
        <v/>
      </c>
      <c r="AV140" s="83"/>
      <c r="AW140" s="82" t="str">
        <f t="shared" si="24"/>
        <v/>
      </c>
      <c r="AX140" s="81" t="str">
        <f t="shared" si="34"/>
        <v/>
      </c>
      <c r="AY140" s="22" t="str">
        <f>IFERROR(VLOOKUP((CONCATENATE(AM140,AX140)),Listados!$U$3:$V$11,2,FALSE),"")</f>
        <v/>
      </c>
      <c r="AZ140" s="111">
        <f t="shared" si="35"/>
        <v>100</v>
      </c>
      <c r="BA140" s="717"/>
      <c r="BB140" s="761"/>
      <c r="BC140" s="142">
        <f>+IF(AND(W140="Preventivo",BB139="Fuerte"),2,IF(AND(W140="Preventivo",BB139="Moderado"),1,0))</f>
        <v>0</v>
      </c>
      <c r="BD140" s="68">
        <f>+IF(AND(W140="Detectivo/Correctivo",$BB139="Fuerte"),2,IF(AND(W140="Detectivo/Correctivo",$BB140="Moderado"),1,IF(AND(W140="Preventivo",$BB139="Fuerte"),1,0)))</f>
        <v>0</v>
      </c>
      <c r="BE140" s="142" t="e">
        <f>+N139-BC140</f>
        <v>#N/A</v>
      </c>
      <c r="BF140" s="142" t="e">
        <f>+P139-BD140</f>
        <v>#N/A</v>
      </c>
      <c r="BG140" s="713"/>
      <c r="BH140" s="713"/>
      <c r="BI140" s="713"/>
      <c r="BJ140" s="803"/>
      <c r="BK140" s="803"/>
      <c r="BL140" s="803"/>
      <c r="BM140" s="803"/>
    </row>
    <row r="141" spans="1:65" ht="65.150000000000006" customHeight="1" thickBot="1">
      <c r="A141" s="724"/>
      <c r="B141" s="812"/>
      <c r="C141" s="730"/>
      <c r="D141" s="158"/>
      <c r="E141" s="158"/>
      <c r="F141" s="814"/>
      <c r="G141" s="736"/>
      <c r="H141" s="105"/>
      <c r="I141" s="161"/>
      <c r="J141" s="105"/>
      <c r="K141" s="160"/>
      <c r="L141" s="150"/>
      <c r="M141" s="727"/>
      <c r="N141" s="720"/>
      <c r="O141" s="810"/>
      <c r="P141" s="720"/>
      <c r="Q141" s="715"/>
      <c r="R141" s="713"/>
      <c r="S141" s="140"/>
      <c r="T141" s="100"/>
      <c r="U141" s="52" t="s">
        <v>467</v>
      </c>
      <c r="V141" s="145"/>
      <c r="W141" s="145"/>
      <c r="X141" s="145"/>
      <c r="Y141" s="99" t="str">
        <f t="shared" si="25"/>
        <v/>
      </c>
      <c r="Z141" s="145"/>
      <c r="AA141" s="99" t="str">
        <f t="shared" si="26"/>
        <v/>
      </c>
      <c r="AB141" s="140"/>
      <c r="AC141" s="99" t="str">
        <f t="shared" si="27"/>
        <v/>
      </c>
      <c r="AD141" s="140"/>
      <c r="AE141" s="99" t="str">
        <f t="shared" si="28"/>
        <v/>
      </c>
      <c r="AF141" s="140"/>
      <c r="AG141" s="99" t="str">
        <f t="shared" si="29"/>
        <v/>
      </c>
      <c r="AH141" s="140"/>
      <c r="AI141" s="99" t="str">
        <f t="shared" si="30"/>
        <v/>
      </c>
      <c r="AJ141" s="140"/>
      <c r="AK141" s="28" t="str">
        <f t="shared" si="31"/>
        <v/>
      </c>
      <c r="AL141" s="111" t="str">
        <f t="shared" si="32"/>
        <v/>
      </c>
      <c r="AM141" s="111" t="str">
        <f t="shared" si="33"/>
        <v/>
      </c>
      <c r="AN141" s="178"/>
      <c r="AO141" s="178"/>
      <c r="AP141" s="178"/>
      <c r="AQ141" s="178"/>
      <c r="AR141" s="178"/>
      <c r="AS141" s="178"/>
      <c r="AT141" s="178"/>
      <c r="AU141" s="179" t="str">
        <f>IFERROR(VLOOKUP(AT141,'Seguridad Información'!$I$61:$J$65,2,0),"")</f>
        <v/>
      </c>
      <c r="AV141" s="83"/>
      <c r="AW141" s="82" t="str">
        <f t="shared" si="24"/>
        <v/>
      </c>
      <c r="AX141" s="81" t="str">
        <f t="shared" si="34"/>
        <v/>
      </c>
      <c r="AY141" s="22" t="str">
        <f>IFERROR(VLOOKUP((CONCATENATE(AM141,AX141)),Listados!$U$3:$V$11,2,FALSE),"")</f>
        <v/>
      </c>
      <c r="AZ141" s="111">
        <f t="shared" si="35"/>
        <v>100</v>
      </c>
      <c r="BA141" s="717"/>
      <c r="BB141" s="761"/>
      <c r="BC141" s="142">
        <f>+IF(AND(W141="Preventivo",BB139="Fuerte"),2,IF(AND(W141="Preventivo",BB139="Moderado"),1,0))</f>
        <v>0</v>
      </c>
      <c r="BD141" s="68">
        <f>+IF(AND(W141="Detectivo/Correctivo",$BB139="Fuerte"),2,IF(AND(W141="Detectivo/Correctivo",$BB141="Moderado"),1,IF(AND(W141="Preventivo",$BB139="Fuerte"),1,0)))</f>
        <v>0</v>
      </c>
      <c r="BE141" s="142" t="e">
        <f>+N139-BC141</f>
        <v>#N/A</v>
      </c>
      <c r="BF141" s="142" t="e">
        <f>+P139-BD141</f>
        <v>#N/A</v>
      </c>
      <c r="BG141" s="713"/>
      <c r="BH141" s="713"/>
      <c r="BI141" s="713"/>
      <c r="BJ141" s="803"/>
      <c r="BK141" s="803"/>
      <c r="BL141" s="803"/>
      <c r="BM141" s="803"/>
    </row>
    <row r="142" spans="1:65" ht="65.150000000000006" customHeight="1" thickBot="1">
      <c r="A142" s="724"/>
      <c r="B142" s="812"/>
      <c r="C142" s="730"/>
      <c r="D142" s="158"/>
      <c r="E142" s="158"/>
      <c r="F142" s="814"/>
      <c r="G142" s="736"/>
      <c r="H142" s="105"/>
      <c r="I142" s="161"/>
      <c r="J142" s="105"/>
      <c r="K142" s="160"/>
      <c r="L142" s="150"/>
      <c r="M142" s="727"/>
      <c r="N142" s="720"/>
      <c r="O142" s="810"/>
      <c r="P142" s="720"/>
      <c r="Q142" s="715"/>
      <c r="R142" s="713"/>
      <c r="S142" s="140"/>
      <c r="T142" s="101"/>
      <c r="U142" s="52" t="s">
        <v>467</v>
      </c>
      <c r="V142" s="145"/>
      <c r="W142" s="145"/>
      <c r="X142" s="145"/>
      <c r="Y142" s="99" t="str">
        <f t="shared" si="25"/>
        <v/>
      </c>
      <c r="Z142" s="145"/>
      <c r="AA142" s="99" t="str">
        <f t="shared" si="26"/>
        <v/>
      </c>
      <c r="AB142" s="140"/>
      <c r="AC142" s="99" t="str">
        <f t="shared" si="27"/>
        <v/>
      </c>
      <c r="AD142" s="140"/>
      <c r="AE142" s="99" t="str">
        <f t="shared" si="28"/>
        <v/>
      </c>
      <c r="AF142" s="140"/>
      <c r="AG142" s="99" t="str">
        <f t="shared" si="29"/>
        <v/>
      </c>
      <c r="AH142" s="140"/>
      <c r="AI142" s="99" t="str">
        <f t="shared" si="30"/>
        <v/>
      </c>
      <c r="AJ142" s="140"/>
      <c r="AK142" s="28" t="str">
        <f t="shared" si="31"/>
        <v/>
      </c>
      <c r="AL142" s="111" t="str">
        <f t="shared" si="32"/>
        <v/>
      </c>
      <c r="AM142" s="111" t="str">
        <f t="shared" si="33"/>
        <v/>
      </c>
      <c r="AN142" s="178"/>
      <c r="AO142" s="178"/>
      <c r="AP142" s="178"/>
      <c r="AQ142" s="178"/>
      <c r="AR142" s="178"/>
      <c r="AS142" s="178"/>
      <c r="AT142" s="178"/>
      <c r="AU142" s="179" t="str">
        <f>IFERROR(VLOOKUP(AT142,'Seguridad Información'!$I$61:$J$65,2,0),"")</f>
        <v/>
      </c>
      <c r="AV142" s="83"/>
      <c r="AW142" s="82" t="str">
        <f t="shared" si="24"/>
        <v/>
      </c>
      <c r="AX142" s="81" t="str">
        <f t="shared" si="34"/>
        <v/>
      </c>
      <c r="AY142" s="22" t="str">
        <f>IFERROR(VLOOKUP((CONCATENATE(AM142,AX142)),Listados!$U$3:$V$11,2,FALSE),"")</f>
        <v/>
      </c>
      <c r="AZ142" s="111">
        <f t="shared" si="35"/>
        <v>100</v>
      </c>
      <c r="BA142" s="717"/>
      <c r="BB142" s="761"/>
      <c r="BC142" s="142">
        <f>+IF(AND(W142="Preventivo",BB139="Fuerte"),2,IF(AND(W142="Preventivo",BB139="Moderado"),1,0))</f>
        <v>0</v>
      </c>
      <c r="BD142" s="68">
        <f>+IF(AND(W142="Detectivo/Correctivo",$BB139="Fuerte"),2,IF(AND(W142="Detectivo/Correctivo",$BB142="Moderado"),1,IF(AND(W142="Preventivo",$BB139="Fuerte"),1,0)))</f>
        <v>0</v>
      </c>
      <c r="BE142" s="142" t="e">
        <f>+N139-BC142</f>
        <v>#N/A</v>
      </c>
      <c r="BF142" s="142" t="e">
        <f>+P139-BD142</f>
        <v>#N/A</v>
      </c>
      <c r="BG142" s="713"/>
      <c r="BH142" s="713"/>
      <c r="BI142" s="713"/>
      <c r="BJ142" s="803"/>
      <c r="BK142" s="803"/>
      <c r="BL142" s="803"/>
      <c r="BM142" s="803"/>
    </row>
    <row r="143" spans="1:65" ht="65.150000000000006" customHeight="1" thickBot="1">
      <c r="A143" s="724"/>
      <c r="B143" s="812"/>
      <c r="C143" s="730"/>
      <c r="D143" s="116"/>
      <c r="E143" s="116"/>
      <c r="F143" s="814"/>
      <c r="G143" s="736"/>
      <c r="H143" s="105"/>
      <c r="I143" s="161"/>
      <c r="J143" s="105"/>
      <c r="K143" s="29"/>
      <c r="L143" s="150"/>
      <c r="M143" s="727"/>
      <c r="N143" s="720"/>
      <c r="O143" s="810"/>
      <c r="P143" s="720"/>
      <c r="Q143" s="715"/>
      <c r="R143" s="713"/>
      <c r="S143" s="140"/>
      <c r="T143" s="180"/>
      <c r="U143" s="52" t="s">
        <v>467</v>
      </c>
      <c r="V143" s="145"/>
      <c r="W143" s="145"/>
      <c r="X143" s="145"/>
      <c r="Y143" s="99" t="str">
        <f t="shared" si="25"/>
        <v/>
      </c>
      <c r="Z143" s="145"/>
      <c r="AA143" s="99" t="str">
        <f t="shared" si="26"/>
        <v/>
      </c>
      <c r="AB143" s="140"/>
      <c r="AC143" s="99" t="str">
        <f t="shared" si="27"/>
        <v/>
      </c>
      <c r="AD143" s="140"/>
      <c r="AE143" s="99" t="str">
        <f t="shared" si="28"/>
        <v/>
      </c>
      <c r="AF143" s="140"/>
      <c r="AG143" s="99" t="str">
        <f t="shared" si="29"/>
        <v/>
      </c>
      <c r="AH143" s="140"/>
      <c r="AI143" s="99" t="str">
        <f t="shared" si="30"/>
        <v/>
      </c>
      <c r="AJ143" s="140"/>
      <c r="AK143" s="28" t="str">
        <f t="shared" si="31"/>
        <v/>
      </c>
      <c r="AL143" s="111" t="str">
        <f t="shared" si="32"/>
        <v/>
      </c>
      <c r="AM143" s="111" t="str">
        <f t="shared" si="33"/>
        <v/>
      </c>
      <c r="AN143" s="178"/>
      <c r="AO143" s="178"/>
      <c r="AP143" s="178"/>
      <c r="AQ143" s="178"/>
      <c r="AR143" s="178"/>
      <c r="AS143" s="178"/>
      <c r="AT143" s="178"/>
      <c r="AU143" s="179" t="str">
        <f>IFERROR(VLOOKUP(AT143,'Seguridad Información'!$I$61:$J$65,2,0),"")</f>
        <v/>
      </c>
      <c r="AV143" s="83"/>
      <c r="AW143" s="82" t="str">
        <f t="shared" si="24"/>
        <v/>
      </c>
      <c r="AX143" s="81" t="str">
        <f t="shared" si="34"/>
        <v/>
      </c>
      <c r="AY143" s="22" t="str">
        <f>IFERROR(VLOOKUP((CONCATENATE(AM143,AX143)),Listados!$U$3:$V$11,2,FALSE),"")</f>
        <v/>
      </c>
      <c r="AZ143" s="111">
        <f t="shared" si="35"/>
        <v>100</v>
      </c>
      <c r="BA143" s="717"/>
      <c r="BB143" s="761"/>
      <c r="BC143" s="142">
        <f>+IF(AND(W143="Preventivo",BB139="Fuerte"),2,IF(AND(W143="Preventivo",BB139="Moderado"),1,0))</f>
        <v>0</v>
      </c>
      <c r="BD143" s="68">
        <f>+IF(AND(W143="Detectivo/Correctivo",$BB139="Fuerte"),2,IF(AND(W143="Detectivo/Correctivo",$BB143="Moderado"),1,IF(AND(W143="Preventivo",$BB139="Fuerte"),1,0)))</f>
        <v>0</v>
      </c>
      <c r="BE143" s="142" t="e">
        <f>+N139-BC143</f>
        <v>#N/A</v>
      </c>
      <c r="BF143" s="142" t="e">
        <f>+P139-BD143</f>
        <v>#N/A</v>
      </c>
      <c r="BG143" s="713"/>
      <c r="BH143" s="713"/>
      <c r="BI143" s="713"/>
      <c r="BJ143" s="803"/>
      <c r="BK143" s="803"/>
      <c r="BL143" s="803"/>
      <c r="BM143" s="803"/>
    </row>
    <row r="144" spans="1:65" ht="65.150000000000006" customHeight="1" thickBot="1">
      <c r="A144" s="725"/>
      <c r="B144" s="812"/>
      <c r="C144" s="731"/>
      <c r="D144" s="113"/>
      <c r="E144" s="113"/>
      <c r="F144" s="815"/>
      <c r="G144" s="781"/>
      <c r="H144" s="105"/>
      <c r="I144" s="161"/>
      <c r="J144" s="105"/>
      <c r="K144" s="30"/>
      <c r="L144" s="150"/>
      <c r="M144" s="727"/>
      <c r="N144" s="721"/>
      <c r="O144" s="810"/>
      <c r="P144" s="721"/>
      <c r="Q144" s="715"/>
      <c r="R144" s="714"/>
      <c r="S144" s="140"/>
      <c r="T144" s="102"/>
      <c r="U144" s="52" t="s">
        <v>467</v>
      </c>
      <c r="V144" s="145"/>
      <c r="W144" s="145"/>
      <c r="X144" s="145"/>
      <c r="Y144" s="99" t="str">
        <f t="shared" si="25"/>
        <v/>
      </c>
      <c r="Z144" s="145"/>
      <c r="AA144" s="99" t="str">
        <f t="shared" si="26"/>
        <v/>
      </c>
      <c r="AB144" s="140"/>
      <c r="AC144" s="99" t="str">
        <f t="shared" si="27"/>
        <v/>
      </c>
      <c r="AD144" s="140"/>
      <c r="AE144" s="99" t="str">
        <f t="shared" si="28"/>
        <v/>
      </c>
      <c r="AF144" s="140"/>
      <c r="AG144" s="99" t="str">
        <f t="shared" si="29"/>
        <v/>
      </c>
      <c r="AH144" s="140"/>
      <c r="AI144" s="99" t="str">
        <f t="shared" si="30"/>
        <v/>
      </c>
      <c r="AJ144" s="140"/>
      <c r="AK144" s="28" t="str">
        <f t="shared" si="31"/>
        <v/>
      </c>
      <c r="AL144" s="111" t="str">
        <f t="shared" si="32"/>
        <v/>
      </c>
      <c r="AM144" s="111" t="str">
        <f t="shared" si="33"/>
        <v/>
      </c>
      <c r="AN144" s="178"/>
      <c r="AO144" s="178"/>
      <c r="AP144" s="178"/>
      <c r="AQ144" s="178"/>
      <c r="AR144" s="178"/>
      <c r="AS144" s="178"/>
      <c r="AT144" s="178"/>
      <c r="AU144" s="179" t="str">
        <f>IFERROR(VLOOKUP(AT144,'Seguridad Información'!$I$61:$J$65,2,0),"")</f>
        <v/>
      </c>
      <c r="AV144" s="83"/>
      <c r="AW144" s="82" t="str">
        <f t="shared" si="24"/>
        <v/>
      </c>
      <c r="AX144" s="81" t="str">
        <f t="shared" si="34"/>
        <v/>
      </c>
      <c r="AY144" s="22" t="str">
        <f>IFERROR(VLOOKUP((CONCATENATE(AM144,AX144)),Listados!$U$3:$V$11,2,FALSE),"")</f>
        <v/>
      </c>
      <c r="AZ144" s="111">
        <f t="shared" si="35"/>
        <v>100</v>
      </c>
      <c r="BA144" s="718"/>
      <c r="BB144" s="761"/>
      <c r="BC144" s="142">
        <f>+IF(AND(W144="Preventivo",BB139="Fuerte"),2,IF(AND(W144="Preventivo",BB139="Moderado"),1,0))</f>
        <v>0</v>
      </c>
      <c r="BD144" s="68">
        <f>+IF(AND(W144="Detectivo/Correctivo",$BB139="Fuerte"),2,IF(AND(W144="Detectivo/Correctivo",$BB144="Moderado"),1,IF(AND(W144="Preventivo",$BB139="Fuerte"),1,0)))</f>
        <v>0</v>
      </c>
      <c r="BE144" s="142" t="e">
        <f>+N139-BC144</f>
        <v>#N/A</v>
      </c>
      <c r="BF144" s="142" t="e">
        <f>+P139-BD144</f>
        <v>#N/A</v>
      </c>
      <c r="BG144" s="714"/>
      <c r="BH144" s="714"/>
      <c r="BI144" s="714"/>
      <c r="BJ144" s="804"/>
      <c r="BK144" s="804"/>
      <c r="BL144" s="804"/>
      <c r="BM144" s="804"/>
    </row>
    <row r="145" spans="1:65" ht="65.150000000000006" customHeight="1" thickBot="1">
      <c r="A145" s="723">
        <v>24</v>
      </c>
      <c r="B145" s="811"/>
      <c r="C145" s="729" t="str">
        <f>IFERROR(VLOOKUP(B145,Listados!B$3:C$20,2,FALSE),"")</f>
        <v/>
      </c>
      <c r="D145" s="114"/>
      <c r="E145" s="114"/>
      <c r="F145" s="813"/>
      <c r="G145" s="735"/>
      <c r="H145" s="105"/>
      <c r="I145" s="161"/>
      <c r="J145" s="105"/>
      <c r="K145" s="109"/>
      <c r="L145" s="18"/>
      <c r="M145" s="762"/>
      <c r="N145" s="719" t="e">
        <f>+VLOOKUP(M145,Listados!$K$8:$L$12,2,0)</f>
        <v>#N/A</v>
      </c>
      <c r="O145" s="809"/>
      <c r="P145" s="719" t="e">
        <f>+VLOOKUP(O145,Listados!$K$13:$L$17,2,0)</f>
        <v>#N/A</v>
      </c>
      <c r="Q145" s="714" t="str">
        <f>IF(AND(M145&lt;&gt;"",O145&lt;&gt;""),VLOOKUP(M145&amp;O145,Listados!$M$3:$N$27,2,FALSE),"")</f>
        <v/>
      </c>
      <c r="R145" s="712" t="e">
        <f>+VLOOKUP(Q145,Listados!$P$3:$Q$6,2,FALSE)</f>
        <v>#N/A</v>
      </c>
      <c r="S145" s="140"/>
      <c r="T145" s="98"/>
      <c r="U145" s="52" t="s">
        <v>467</v>
      </c>
      <c r="V145" s="145"/>
      <c r="W145" s="145"/>
      <c r="X145" s="145"/>
      <c r="Y145" s="99" t="str">
        <f t="shared" si="25"/>
        <v/>
      </c>
      <c r="Z145" s="145"/>
      <c r="AA145" s="99" t="str">
        <f t="shared" si="26"/>
        <v/>
      </c>
      <c r="AB145" s="140"/>
      <c r="AC145" s="99" t="str">
        <f t="shared" si="27"/>
        <v/>
      </c>
      <c r="AD145" s="140"/>
      <c r="AE145" s="99" t="str">
        <f t="shared" si="28"/>
        <v/>
      </c>
      <c r="AF145" s="140"/>
      <c r="AG145" s="99" t="str">
        <f t="shared" si="29"/>
        <v/>
      </c>
      <c r="AH145" s="140"/>
      <c r="AI145" s="99" t="str">
        <f t="shared" si="30"/>
        <v/>
      </c>
      <c r="AJ145" s="140"/>
      <c r="AK145" s="28" t="str">
        <f t="shared" si="31"/>
        <v/>
      </c>
      <c r="AL145" s="111" t="str">
        <f t="shared" si="32"/>
        <v/>
      </c>
      <c r="AM145" s="111" t="str">
        <f t="shared" si="33"/>
        <v/>
      </c>
      <c r="AN145" s="178"/>
      <c r="AO145" s="178"/>
      <c r="AP145" s="178"/>
      <c r="AQ145" s="178"/>
      <c r="AR145" s="178"/>
      <c r="AS145" s="178"/>
      <c r="AT145" s="178"/>
      <c r="AU145" s="179" t="str">
        <f>IFERROR(VLOOKUP(AT145,'Seguridad Información'!$I$61:$J$65,2,0),"")</f>
        <v/>
      </c>
      <c r="AV145" s="83"/>
      <c r="AW145" s="82" t="str">
        <f t="shared" si="24"/>
        <v/>
      </c>
      <c r="AX145" s="81" t="str">
        <f t="shared" si="34"/>
        <v/>
      </c>
      <c r="AY145" s="22" t="str">
        <f>IFERROR(VLOOKUP((CONCATENATE(AM145,AX145)),Listados!$U$3:$V$11,2,FALSE),"")</f>
        <v/>
      </c>
      <c r="AZ145" s="111">
        <f t="shared" si="35"/>
        <v>100</v>
      </c>
      <c r="BA145" s="716">
        <f>AVERAGE(AZ145:AZ150)</f>
        <v>100</v>
      </c>
      <c r="BB145" s="718" t="str">
        <f>IF(BA145&lt;=50, "Débil", IF(BA145&lt;=99,"Moderado","Fuerte"))</f>
        <v>Fuerte</v>
      </c>
      <c r="BC145" s="142">
        <f>+IF(AND(W145="Preventivo",BB145="Fuerte"),2,IF(AND(W145="Preventivo",BB145="Moderado"),1,0))</f>
        <v>0</v>
      </c>
      <c r="BD145" s="68">
        <f>+IF(AND(W145="Detectivo/Correctivo",$BB145="Fuerte"),2,IF(AND(W145="Detectivo/Correctivo",$BB145="Moderado"),1,IF(AND(W145="Preventivo",$BB145="Fuerte"),1,0)))</f>
        <v>0</v>
      </c>
      <c r="BE145" s="142" t="e">
        <f>+N145-BC145</f>
        <v>#N/A</v>
      </c>
      <c r="BF145" s="142" t="e">
        <f>+P145-BD145</f>
        <v>#N/A</v>
      </c>
      <c r="BG145" s="712" t="e">
        <f>+VLOOKUP(MIN(BE145,BE146,BE147,BE148,BE149,BE150),Listados!$J$18:$K$24,2,TRUE)</f>
        <v>#N/A</v>
      </c>
      <c r="BH145" s="712" t="e">
        <f>+VLOOKUP(MIN(BF145,BF146,BF147,BF148,BF149,BF150),Listados!$J$27:$K$32,2,TRUE)</f>
        <v>#N/A</v>
      </c>
      <c r="BI145" s="712" t="e">
        <f>IF(AND(BG145&lt;&gt;"",BH145&lt;&gt;""),VLOOKUP(BG145&amp;BH145,Listados!$M$3:$N$27,2,FALSE),"")</f>
        <v>#N/A</v>
      </c>
      <c r="BJ145" s="802" t="e">
        <f>+IF($R145="Asumir el riesgo","NA","")</f>
        <v>#N/A</v>
      </c>
      <c r="BK145" s="802" t="e">
        <f>+IF($R145="Asumir el riesgo","NA","")</f>
        <v>#N/A</v>
      </c>
      <c r="BL145" s="802" t="e">
        <f>+IF($R145="Asumir el riesgo","NA","")</f>
        <v>#N/A</v>
      </c>
      <c r="BM145" s="802" t="e">
        <f>+IF($R145="Asumir el riesgo","NA","")</f>
        <v>#N/A</v>
      </c>
    </row>
    <row r="146" spans="1:65" ht="65.150000000000006" customHeight="1" thickBot="1">
      <c r="A146" s="724"/>
      <c r="B146" s="812"/>
      <c r="C146" s="730"/>
      <c r="D146" s="158"/>
      <c r="E146" s="158"/>
      <c r="F146" s="814"/>
      <c r="G146" s="736"/>
      <c r="H146" s="105"/>
      <c r="I146" s="161"/>
      <c r="J146" s="105"/>
      <c r="K146" s="160"/>
      <c r="L146" s="150"/>
      <c r="M146" s="727"/>
      <c r="N146" s="720"/>
      <c r="O146" s="810"/>
      <c r="P146" s="720"/>
      <c r="Q146" s="715"/>
      <c r="R146" s="713"/>
      <c r="S146" s="140"/>
      <c r="T146" s="180"/>
      <c r="U146" s="52" t="s">
        <v>467</v>
      </c>
      <c r="V146" s="145"/>
      <c r="W146" s="145"/>
      <c r="X146" s="145"/>
      <c r="Y146" s="99" t="str">
        <f t="shared" si="25"/>
        <v/>
      </c>
      <c r="Z146" s="145"/>
      <c r="AA146" s="99" t="str">
        <f t="shared" si="26"/>
        <v/>
      </c>
      <c r="AB146" s="140"/>
      <c r="AC146" s="99" t="str">
        <f t="shared" si="27"/>
        <v/>
      </c>
      <c r="AD146" s="140"/>
      <c r="AE146" s="99" t="str">
        <f t="shared" si="28"/>
        <v/>
      </c>
      <c r="AF146" s="140"/>
      <c r="AG146" s="99" t="str">
        <f t="shared" si="29"/>
        <v/>
      </c>
      <c r="AH146" s="140"/>
      <c r="AI146" s="99" t="str">
        <f t="shared" si="30"/>
        <v/>
      </c>
      <c r="AJ146" s="140"/>
      <c r="AK146" s="28" t="str">
        <f t="shared" si="31"/>
        <v/>
      </c>
      <c r="AL146" s="111" t="str">
        <f t="shared" si="32"/>
        <v/>
      </c>
      <c r="AM146" s="111" t="str">
        <f t="shared" si="33"/>
        <v/>
      </c>
      <c r="AN146" s="178"/>
      <c r="AO146" s="178"/>
      <c r="AP146" s="178"/>
      <c r="AQ146" s="178"/>
      <c r="AR146" s="178"/>
      <c r="AS146" s="178"/>
      <c r="AT146" s="178"/>
      <c r="AU146" s="179" t="str">
        <f>IFERROR(VLOOKUP(AT146,'Seguridad Información'!$I$61:$J$65,2,0),"")</f>
        <v/>
      </c>
      <c r="AV146" s="83"/>
      <c r="AW146" s="82" t="str">
        <f t="shared" si="24"/>
        <v/>
      </c>
      <c r="AX146" s="81" t="str">
        <f t="shared" si="34"/>
        <v/>
      </c>
      <c r="AY146" s="22" t="str">
        <f>IFERROR(VLOOKUP((CONCATENATE(AM146,AX146)),Listados!$U$3:$V$11,2,FALSE),"")</f>
        <v/>
      </c>
      <c r="AZ146" s="111">
        <f t="shared" si="35"/>
        <v>100</v>
      </c>
      <c r="BA146" s="717"/>
      <c r="BB146" s="761"/>
      <c r="BC146" s="142">
        <f>+IF(AND(W146="Preventivo",BB145="Fuerte"),2,IF(AND(W146="Preventivo",BB145="Moderado"),1,0))</f>
        <v>0</v>
      </c>
      <c r="BD146" s="68">
        <f>+IF(AND(W146="Detectivo/Correctivo",$BB145="Fuerte"),2,IF(AND(W146="Detectivo/Correctivo",$BB146="Moderado"),1,IF(AND(W146="Preventivo",$BB145="Fuerte"),1,0)))</f>
        <v>0</v>
      </c>
      <c r="BE146" s="142" t="e">
        <f>+N145-BC146</f>
        <v>#N/A</v>
      </c>
      <c r="BF146" s="142" t="e">
        <f>+P145-BD146</f>
        <v>#N/A</v>
      </c>
      <c r="BG146" s="713"/>
      <c r="BH146" s="713"/>
      <c r="BI146" s="713"/>
      <c r="BJ146" s="803"/>
      <c r="BK146" s="803"/>
      <c r="BL146" s="803"/>
      <c r="BM146" s="803"/>
    </row>
    <row r="147" spans="1:65" ht="65.150000000000006" customHeight="1" thickBot="1">
      <c r="A147" s="724"/>
      <c r="B147" s="812"/>
      <c r="C147" s="730"/>
      <c r="D147" s="158"/>
      <c r="E147" s="158"/>
      <c r="F147" s="814"/>
      <c r="G147" s="736"/>
      <c r="H147" s="105"/>
      <c r="I147" s="161"/>
      <c r="J147" s="105"/>
      <c r="K147" s="160"/>
      <c r="L147" s="150"/>
      <c r="M147" s="727"/>
      <c r="N147" s="720"/>
      <c r="O147" s="810"/>
      <c r="P147" s="720"/>
      <c r="Q147" s="715"/>
      <c r="R147" s="713"/>
      <c r="S147" s="140"/>
      <c r="T147" s="100"/>
      <c r="U147" s="52" t="s">
        <v>467</v>
      </c>
      <c r="V147" s="145"/>
      <c r="W147" s="145"/>
      <c r="X147" s="145"/>
      <c r="Y147" s="99" t="str">
        <f t="shared" si="25"/>
        <v/>
      </c>
      <c r="Z147" s="145"/>
      <c r="AA147" s="99" t="str">
        <f t="shared" si="26"/>
        <v/>
      </c>
      <c r="AB147" s="140"/>
      <c r="AC147" s="99" t="str">
        <f t="shared" si="27"/>
        <v/>
      </c>
      <c r="AD147" s="140"/>
      <c r="AE147" s="99" t="str">
        <f t="shared" si="28"/>
        <v/>
      </c>
      <c r="AF147" s="140"/>
      <c r="AG147" s="99" t="str">
        <f t="shared" si="29"/>
        <v/>
      </c>
      <c r="AH147" s="140"/>
      <c r="AI147" s="99" t="str">
        <f t="shared" si="30"/>
        <v/>
      </c>
      <c r="AJ147" s="140"/>
      <c r="AK147" s="28" t="str">
        <f t="shared" si="31"/>
        <v/>
      </c>
      <c r="AL147" s="111" t="str">
        <f t="shared" si="32"/>
        <v/>
      </c>
      <c r="AM147" s="111" t="str">
        <f t="shared" si="33"/>
        <v/>
      </c>
      <c r="AN147" s="178"/>
      <c r="AO147" s="178"/>
      <c r="AP147" s="178"/>
      <c r="AQ147" s="178"/>
      <c r="AR147" s="178"/>
      <c r="AS147" s="178"/>
      <c r="AT147" s="178"/>
      <c r="AU147" s="179" t="str">
        <f>IFERROR(VLOOKUP(AT147,'Seguridad Información'!$I$61:$J$65,2,0),"")</f>
        <v/>
      </c>
      <c r="AV147" s="83"/>
      <c r="AW147" s="82" t="str">
        <f t="shared" si="24"/>
        <v/>
      </c>
      <c r="AX147" s="81" t="str">
        <f t="shared" si="34"/>
        <v/>
      </c>
      <c r="AY147" s="22" t="str">
        <f>IFERROR(VLOOKUP((CONCATENATE(AM147,AX147)),Listados!$U$3:$V$11,2,FALSE),"")</f>
        <v/>
      </c>
      <c r="AZ147" s="111">
        <f t="shared" si="35"/>
        <v>100</v>
      </c>
      <c r="BA147" s="717"/>
      <c r="BB147" s="761"/>
      <c r="BC147" s="142">
        <f>+IF(AND(W147="Preventivo",BB145="Fuerte"),2,IF(AND(W147="Preventivo",BB145="Moderado"),1,0))</f>
        <v>0</v>
      </c>
      <c r="BD147" s="68">
        <f>+IF(AND(W147="Detectivo/Correctivo",$BB145="Fuerte"),2,IF(AND(W147="Detectivo/Correctivo",$BB147="Moderado"),1,IF(AND(W147="Preventivo",$BB145="Fuerte"),1,0)))</f>
        <v>0</v>
      </c>
      <c r="BE147" s="142" t="e">
        <f>+N145-BC147</f>
        <v>#N/A</v>
      </c>
      <c r="BF147" s="142" t="e">
        <f>+P145-BD147</f>
        <v>#N/A</v>
      </c>
      <c r="BG147" s="713"/>
      <c r="BH147" s="713"/>
      <c r="BI147" s="713"/>
      <c r="BJ147" s="803"/>
      <c r="BK147" s="803"/>
      <c r="BL147" s="803"/>
      <c r="BM147" s="803"/>
    </row>
    <row r="148" spans="1:65" ht="65.150000000000006" customHeight="1" thickBot="1">
      <c r="A148" s="724"/>
      <c r="B148" s="812"/>
      <c r="C148" s="730"/>
      <c r="D148" s="158"/>
      <c r="E148" s="158"/>
      <c r="F148" s="814"/>
      <c r="G148" s="736"/>
      <c r="H148" s="105"/>
      <c r="I148" s="161"/>
      <c r="J148" s="105"/>
      <c r="K148" s="160"/>
      <c r="L148" s="150"/>
      <c r="M148" s="727"/>
      <c r="N148" s="720"/>
      <c r="O148" s="810"/>
      <c r="P148" s="720"/>
      <c r="Q148" s="715"/>
      <c r="R148" s="713"/>
      <c r="S148" s="140"/>
      <c r="T148" s="101"/>
      <c r="U148" s="52" t="s">
        <v>467</v>
      </c>
      <c r="V148" s="145"/>
      <c r="W148" s="145"/>
      <c r="X148" s="145"/>
      <c r="Y148" s="99" t="str">
        <f t="shared" si="25"/>
        <v/>
      </c>
      <c r="Z148" s="145"/>
      <c r="AA148" s="99" t="str">
        <f t="shared" si="26"/>
        <v/>
      </c>
      <c r="AB148" s="140"/>
      <c r="AC148" s="99" t="str">
        <f t="shared" si="27"/>
        <v/>
      </c>
      <c r="AD148" s="140"/>
      <c r="AE148" s="99" t="str">
        <f t="shared" si="28"/>
        <v/>
      </c>
      <c r="AF148" s="140"/>
      <c r="AG148" s="99" t="str">
        <f t="shared" si="29"/>
        <v/>
      </c>
      <c r="AH148" s="140"/>
      <c r="AI148" s="99" t="str">
        <f t="shared" si="30"/>
        <v/>
      </c>
      <c r="AJ148" s="140"/>
      <c r="AK148" s="28" t="str">
        <f t="shared" si="31"/>
        <v/>
      </c>
      <c r="AL148" s="111" t="str">
        <f t="shared" si="32"/>
        <v/>
      </c>
      <c r="AM148" s="111" t="str">
        <f t="shared" si="33"/>
        <v/>
      </c>
      <c r="AN148" s="178"/>
      <c r="AO148" s="178"/>
      <c r="AP148" s="178"/>
      <c r="AQ148" s="178"/>
      <c r="AR148" s="178"/>
      <c r="AS148" s="178"/>
      <c r="AT148" s="178"/>
      <c r="AU148" s="179" t="str">
        <f>IFERROR(VLOOKUP(AT148,'Seguridad Información'!$I$61:$J$65,2,0),"")</f>
        <v/>
      </c>
      <c r="AV148" s="83"/>
      <c r="AW148" s="82" t="str">
        <f t="shared" si="24"/>
        <v/>
      </c>
      <c r="AX148" s="81" t="str">
        <f t="shared" si="34"/>
        <v/>
      </c>
      <c r="AY148" s="22" t="str">
        <f>IFERROR(VLOOKUP((CONCATENATE(AM148,AX148)),Listados!$U$3:$V$11,2,FALSE),"")</f>
        <v/>
      </c>
      <c r="AZ148" s="111">
        <f t="shared" si="35"/>
        <v>100</v>
      </c>
      <c r="BA148" s="717"/>
      <c r="BB148" s="761"/>
      <c r="BC148" s="142">
        <f>+IF(AND(W148="Preventivo",BB145="Fuerte"),2,IF(AND(W148="Preventivo",BB145="Moderado"),1,0))</f>
        <v>0</v>
      </c>
      <c r="BD148" s="68">
        <f>+IF(AND(W148="Detectivo/Correctivo",$BB145="Fuerte"),2,IF(AND(W148="Detectivo/Correctivo",$BB148="Moderado"),1,IF(AND(W148="Preventivo",$BB145="Fuerte"),1,0)))</f>
        <v>0</v>
      </c>
      <c r="BE148" s="142" t="e">
        <f>+N145-BC148</f>
        <v>#N/A</v>
      </c>
      <c r="BF148" s="142" t="e">
        <f>+P145-BD148</f>
        <v>#N/A</v>
      </c>
      <c r="BG148" s="713"/>
      <c r="BH148" s="713"/>
      <c r="BI148" s="713"/>
      <c r="BJ148" s="803"/>
      <c r="BK148" s="803"/>
      <c r="BL148" s="803"/>
      <c r="BM148" s="803"/>
    </row>
    <row r="149" spans="1:65" ht="65.150000000000006" customHeight="1" thickBot="1">
      <c r="A149" s="724"/>
      <c r="B149" s="812"/>
      <c r="C149" s="730"/>
      <c r="D149" s="116"/>
      <c r="E149" s="116"/>
      <c r="F149" s="814"/>
      <c r="G149" s="736"/>
      <c r="H149" s="105"/>
      <c r="I149" s="161"/>
      <c r="J149" s="105"/>
      <c r="K149" s="29"/>
      <c r="L149" s="150"/>
      <c r="M149" s="727"/>
      <c r="N149" s="720"/>
      <c r="O149" s="810"/>
      <c r="P149" s="720"/>
      <c r="Q149" s="715"/>
      <c r="R149" s="713"/>
      <c r="S149" s="140"/>
      <c r="T149" s="180"/>
      <c r="U149" s="52" t="s">
        <v>467</v>
      </c>
      <c r="V149" s="145"/>
      <c r="W149" s="145"/>
      <c r="X149" s="145"/>
      <c r="Y149" s="99" t="str">
        <f t="shared" si="25"/>
        <v/>
      </c>
      <c r="Z149" s="145"/>
      <c r="AA149" s="99" t="str">
        <f t="shared" si="26"/>
        <v/>
      </c>
      <c r="AB149" s="140"/>
      <c r="AC149" s="99" t="str">
        <f t="shared" si="27"/>
        <v/>
      </c>
      <c r="AD149" s="140"/>
      <c r="AE149" s="99" t="str">
        <f t="shared" si="28"/>
        <v/>
      </c>
      <c r="AF149" s="140"/>
      <c r="AG149" s="99" t="str">
        <f t="shared" si="29"/>
        <v/>
      </c>
      <c r="AH149" s="140"/>
      <c r="AI149" s="99" t="str">
        <f t="shared" si="30"/>
        <v/>
      </c>
      <c r="AJ149" s="140"/>
      <c r="AK149" s="28" t="str">
        <f t="shared" si="31"/>
        <v/>
      </c>
      <c r="AL149" s="111" t="str">
        <f t="shared" si="32"/>
        <v/>
      </c>
      <c r="AM149" s="111" t="str">
        <f t="shared" si="33"/>
        <v/>
      </c>
      <c r="AN149" s="178"/>
      <c r="AO149" s="178"/>
      <c r="AP149" s="178"/>
      <c r="AQ149" s="178"/>
      <c r="AR149" s="178"/>
      <c r="AS149" s="178"/>
      <c r="AT149" s="178"/>
      <c r="AU149" s="179" t="str">
        <f>IFERROR(VLOOKUP(AT149,'Seguridad Información'!$I$61:$J$65,2,0),"")</f>
        <v/>
      </c>
      <c r="AV149" s="83"/>
      <c r="AW149" s="82" t="str">
        <f t="shared" si="24"/>
        <v/>
      </c>
      <c r="AX149" s="81" t="str">
        <f t="shared" si="34"/>
        <v/>
      </c>
      <c r="AY149" s="22" t="str">
        <f>IFERROR(VLOOKUP((CONCATENATE(AM149,AX149)),Listados!$U$3:$V$11,2,FALSE),"")</f>
        <v/>
      </c>
      <c r="AZ149" s="111">
        <f t="shared" si="35"/>
        <v>100</v>
      </c>
      <c r="BA149" s="717"/>
      <c r="BB149" s="761"/>
      <c r="BC149" s="142">
        <f>+IF(AND(W149="Preventivo",BB145="Fuerte"),2,IF(AND(W149="Preventivo",BB145="Moderado"),1,0))</f>
        <v>0</v>
      </c>
      <c r="BD149" s="68">
        <f>+IF(AND(W149="Detectivo/Correctivo",$BB145="Fuerte"),2,IF(AND(W149="Detectivo/Correctivo",$BB149="Moderado"),1,IF(AND(W149="Preventivo",$BB145="Fuerte"),1,0)))</f>
        <v>0</v>
      </c>
      <c r="BE149" s="142" t="e">
        <f>+N145-BC149</f>
        <v>#N/A</v>
      </c>
      <c r="BF149" s="142" t="e">
        <f>+P145-BD149</f>
        <v>#N/A</v>
      </c>
      <c r="BG149" s="713"/>
      <c r="BH149" s="713"/>
      <c r="BI149" s="713"/>
      <c r="BJ149" s="803"/>
      <c r="BK149" s="803"/>
      <c r="BL149" s="803"/>
      <c r="BM149" s="803"/>
    </row>
    <row r="150" spans="1:65" ht="65.150000000000006" customHeight="1" thickBot="1">
      <c r="A150" s="725"/>
      <c r="B150" s="812"/>
      <c r="C150" s="731"/>
      <c r="D150" s="113"/>
      <c r="E150" s="113"/>
      <c r="F150" s="815"/>
      <c r="G150" s="781"/>
      <c r="H150" s="105"/>
      <c r="I150" s="161"/>
      <c r="J150" s="105"/>
      <c r="K150" s="30"/>
      <c r="L150" s="150"/>
      <c r="M150" s="727"/>
      <c r="N150" s="721"/>
      <c r="O150" s="810"/>
      <c r="P150" s="721"/>
      <c r="Q150" s="715"/>
      <c r="R150" s="714"/>
      <c r="S150" s="140"/>
      <c r="T150" s="102"/>
      <c r="U150" s="52" t="s">
        <v>467</v>
      </c>
      <c r="V150" s="145"/>
      <c r="W150" s="145"/>
      <c r="X150" s="145"/>
      <c r="Y150" s="99" t="str">
        <f t="shared" si="25"/>
        <v/>
      </c>
      <c r="Z150" s="145"/>
      <c r="AA150" s="99" t="str">
        <f t="shared" si="26"/>
        <v/>
      </c>
      <c r="AB150" s="140"/>
      <c r="AC150" s="99" t="str">
        <f t="shared" si="27"/>
        <v/>
      </c>
      <c r="AD150" s="140"/>
      <c r="AE150" s="99" t="str">
        <f t="shared" si="28"/>
        <v/>
      </c>
      <c r="AF150" s="140"/>
      <c r="AG150" s="99" t="str">
        <f t="shared" si="29"/>
        <v/>
      </c>
      <c r="AH150" s="140"/>
      <c r="AI150" s="99" t="str">
        <f t="shared" si="30"/>
        <v/>
      </c>
      <c r="AJ150" s="140"/>
      <c r="AK150" s="28" t="str">
        <f t="shared" si="31"/>
        <v/>
      </c>
      <c r="AL150" s="111" t="str">
        <f t="shared" si="32"/>
        <v/>
      </c>
      <c r="AM150" s="111" t="str">
        <f t="shared" si="33"/>
        <v/>
      </c>
      <c r="AN150" s="178"/>
      <c r="AO150" s="178"/>
      <c r="AP150" s="178"/>
      <c r="AQ150" s="178"/>
      <c r="AR150" s="178"/>
      <c r="AS150" s="178"/>
      <c r="AT150" s="178"/>
      <c r="AU150" s="179" t="str">
        <f>IFERROR(VLOOKUP(AT150,'Seguridad Información'!$I$61:$J$65,2,0),"")</f>
        <v/>
      </c>
      <c r="AV150" s="83"/>
      <c r="AW150" s="82" t="str">
        <f t="shared" si="24"/>
        <v/>
      </c>
      <c r="AX150" s="81" t="str">
        <f t="shared" si="34"/>
        <v/>
      </c>
      <c r="AY150" s="22" t="str">
        <f>IFERROR(VLOOKUP((CONCATENATE(AM150,AX150)),Listados!$U$3:$V$11,2,FALSE),"")</f>
        <v/>
      </c>
      <c r="AZ150" s="111">
        <f t="shared" si="35"/>
        <v>100</v>
      </c>
      <c r="BA150" s="718"/>
      <c r="BB150" s="761"/>
      <c r="BC150" s="142">
        <f>+IF(AND(W150="Preventivo",BB145="Fuerte"),2,IF(AND(W150="Preventivo",BB145="Moderado"),1,0))</f>
        <v>0</v>
      </c>
      <c r="BD150" s="68">
        <f>+IF(AND(W150="Detectivo/Correctivo",$BB145="Fuerte"),2,IF(AND(W150="Detectivo/Correctivo",$BB150="Moderado"),1,IF(AND(W150="Preventivo",$BB145="Fuerte"),1,0)))</f>
        <v>0</v>
      </c>
      <c r="BE150" s="142" t="e">
        <f>+N145-BC150</f>
        <v>#N/A</v>
      </c>
      <c r="BF150" s="142" t="e">
        <f>+P145-BD150</f>
        <v>#N/A</v>
      </c>
      <c r="BG150" s="714"/>
      <c r="BH150" s="714"/>
      <c r="BI150" s="714"/>
      <c r="BJ150" s="804"/>
      <c r="BK150" s="804"/>
      <c r="BL150" s="804"/>
      <c r="BM150" s="804"/>
    </row>
    <row r="151" spans="1:65" ht="65.150000000000006" customHeight="1" thickBot="1">
      <c r="A151" s="723">
        <v>25</v>
      </c>
      <c r="B151" s="811"/>
      <c r="C151" s="729" t="str">
        <f>IFERROR(VLOOKUP(B151,Listados!B$3:C$20,2,FALSE),"")</f>
        <v/>
      </c>
      <c r="D151" s="114"/>
      <c r="E151" s="114"/>
      <c r="F151" s="813"/>
      <c r="G151" s="735"/>
      <c r="H151" s="105"/>
      <c r="I151" s="161"/>
      <c r="J151" s="105"/>
      <c r="K151" s="109"/>
      <c r="L151" s="18"/>
      <c r="M151" s="762"/>
      <c r="N151" s="719" t="e">
        <f>+VLOOKUP(M151,Listados!$K$8:$L$12,2,0)</f>
        <v>#N/A</v>
      </c>
      <c r="O151" s="809"/>
      <c r="P151" s="719" t="e">
        <f>+VLOOKUP(O151,Listados!$K$13:$L$17,2,0)</f>
        <v>#N/A</v>
      </c>
      <c r="Q151" s="714" t="str">
        <f>IF(AND(M151&lt;&gt;"",O151&lt;&gt;""),VLOOKUP(M151&amp;O151,Listados!$M$3:$N$27,2,FALSE),"")</f>
        <v/>
      </c>
      <c r="R151" s="712" t="e">
        <f>+VLOOKUP(Q151,Listados!$P$3:$Q$6,2,FALSE)</f>
        <v>#N/A</v>
      </c>
      <c r="S151" s="140"/>
      <c r="T151" s="98"/>
      <c r="U151" s="52" t="s">
        <v>467</v>
      </c>
      <c r="V151" s="145"/>
      <c r="W151" s="145"/>
      <c r="X151" s="145"/>
      <c r="Y151" s="99" t="str">
        <f t="shared" si="25"/>
        <v/>
      </c>
      <c r="Z151" s="145"/>
      <c r="AA151" s="99" t="str">
        <f t="shared" si="26"/>
        <v/>
      </c>
      <c r="AB151" s="140"/>
      <c r="AC151" s="99" t="str">
        <f t="shared" si="27"/>
        <v/>
      </c>
      <c r="AD151" s="140"/>
      <c r="AE151" s="99" t="str">
        <f t="shared" si="28"/>
        <v/>
      </c>
      <c r="AF151" s="140"/>
      <c r="AG151" s="99" t="str">
        <f t="shared" si="29"/>
        <v/>
      </c>
      <c r="AH151" s="140"/>
      <c r="AI151" s="99" t="str">
        <f t="shared" si="30"/>
        <v/>
      </c>
      <c r="AJ151" s="140"/>
      <c r="AK151" s="28" t="str">
        <f t="shared" si="31"/>
        <v/>
      </c>
      <c r="AL151" s="111" t="str">
        <f t="shared" si="32"/>
        <v/>
      </c>
      <c r="AM151" s="111" t="str">
        <f t="shared" si="33"/>
        <v/>
      </c>
      <c r="AN151" s="178"/>
      <c r="AO151" s="178"/>
      <c r="AP151" s="178"/>
      <c r="AQ151" s="178"/>
      <c r="AR151" s="178"/>
      <c r="AS151" s="178"/>
      <c r="AT151" s="178"/>
      <c r="AU151" s="179" t="str">
        <f>IFERROR(VLOOKUP(AT151,'Seguridad Información'!$I$61:$J$65,2,0),"")</f>
        <v/>
      </c>
      <c r="AV151" s="83"/>
      <c r="AW151" s="82" t="str">
        <f t="shared" si="24"/>
        <v/>
      </c>
      <c r="AX151" s="81" t="str">
        <f t="shared" si="34"/>
        <v/>
      </c>
      <c r="AY151" s="22" t="str">
        <f>IFERROR(VLOOKUP((CONCATENATE(AM151,AX151)),Listados!$U$3:$V$11,2,FALSE),"")</f>
        <v/>
      </c>
      <c r="AZ151" s="111">
        <f t="shared" si="35"/>
        <v>100</v>
      </c>
      <c r="BA151" s="716">
        <f>AVERAGE(AZ151:AZ156)</f>
        <v>100</v>
      </c>
      <c r="BB151" s="718" t="str">
        <f>IF(BA151&lt;=50, "Débil", IF(BA151&lt;=99,"Moderado","Fuerte"))</f>
        <v>Fuerte</v>
      </c>
      <c r="BC151" s="142">
        <f>+IF(AND(W151="Preventivo",BB151="Fuerte"),2,IF(AND(W151="Preventivo",BB151="Moderado"),1,0))</f>
        <v>0</v>
      </c>
      <c r="BD151" s="68">
        <f>+IF(AND(W151="Detectivo/Correctivo",$BB151="Fuerte"),2,IF(AND(W151="Detectivo/Correctivo",$BB151="Moderado"),1,IF(AND(W151="Preventivo",$BB151="Fuerte"),1,0)))</f>
        <v>0</v>
      </c>
      <c r="BE151" s="142" t="e">
        <f>+N151-BC151</f>
        <v>#N/A</v>
      </c>
      <c r="BF151" s="142" t="e">
        <f>+P151-BD151</f>
        <v>#N/A</v>
      </c>
      <c r="BG151" s="712" t="e">
        <f>+VLOOKUP(MIN(BE151,BE152,BE153,BE154,BE155,BE156),Listados!$J$18:$K$24,2,TRUE)</f>
        <v>#N/A</v>
      </c>
      <c r="BH151" s="712" t="e">
        <f>+VLOOKUP(MIN(BF151,BF152,BF153,BF154,BF155,BF156),Listados!$J$27:$K$32,2,TRUE)</f>
        <v>#N/A</v>
      </c>
      <c r="BI151" s="712" t="e">
        <f>IF(AND(BG151&lt;&gt;"",BH151&lt;&gt;""),VLOOKUP(BG151&amp;BH151,Listados!$M$3:$N$27,2,FALSE),"")</f>
        <v>#N/A</v>
      </c>
      <c r="BJ151" s="802" t="e">
        <f>+IF($R151="Asumir el riesgo","NA","")</f>
        <v>#N/A</v>
      </c>
      <c r="BK151" s="802" t="e">
        <f>+IF($R151="Asumir el riesgo","NA","")</f>
        <v>#N/A</v>
      </c>
      <c r="BL151" s="802" t="e">
        <f>+IF($R151="Asumir el riesgo","NA","")</f>
        <v>#N/A</v>
      </c>
      <c r="BM151" s="802" t="e">
        <f>+IF($R151="Asumir el riesgo","NA","")</f>
        <v>#N/A</v>
      </c>
    </row>
    <row r="152" spans="1:65" ht="65.150000000000006" customHeight="1" thickBot="1">
      <c r="A152" s="724"/>
      <c r="B152" s="812"/>
      <c r="C152" s="730"/>
      <c r="D152" s="158"/>
      <c r="E152" s="158"/>
      <c r="F152" s="814"/>
      <c r="G152" s="736"/>
      <c r="H152" s="105"/>
      <c r="I152" s="161"/>
      <c r="J152" s="105"/>
      <c r="K152" s="160"/>
      <c r="L152" s="150"/>
      <c r="M152" s="727"/>
      <c r="N152" s="720"/>
      <c r="O152" s="810"/>
      <c r="P152" s="720"/>
      <c r="Q152" s="715"/>
      <c r="R152" s="713"/>
      <c r="S152" s="140"/>
      <c r="T152" s="180"/>
      <c r="U152" s="52" t="s">
        <v>467</v>
      </c>
      <c r="V152" s="145"/>
      <c r="W152" s="145"/>
      <c r="X152" s="145"/>
      <c r="Y152" s="99" t="str">
        <f t="shared" si="25"/>
        <v/>
      </c>
      <c r="Z152" s="145"/>
      <c r="AA152" s="99" t="str">
        <f t="shared" si="26"/>
        <v/>
      </c>
      <c r="AB152" s="140"/>
      <c r="AC152" s="99" t="str">
        <f t="shared" si="27"/>
        <v/>
      </c>
      <c r="AD152" s="140"/>
      <c r="AE152" s="99" t="str">
        <f t="shared" si="28"/>
        <v/>
      </c>
      <c r="AF152" s="140"/>
      <c r="AG152" s="99" t="str">
        <f t="shared" si="29"/>
        <v/>
      </c>
      <c r="AH152" s="140"/>
      <c r="AI152" s="99" t="str">
        <f t="shared" si="30"/>
        <v/>
      </c>
      <c r="AJ152" s="140"/>
      <c r="AK152" s="28" t="str">
        <f t="shared" si="31"/>
        <v/>
      </c>
      <c r="AL152" s="111" t="str">
        <f t="shared" si="32"/>
        <v/>
      </c>
      <c r="AM152" s="111" t="str">
        <f t="shared" si="33"/>
        <v/>
      </c>
      <c r="AN152" s="178"/>
      <c r="AO152" s="178"/>
      <c r="AP152" s="178"/>
      <c r="AQ152" s="178"/>
      <c r="AR152" s="178"/>
      <c r="AS152" s="178"/>
      <c r="AT152" s="178"/>
      <c r="AU152" s="179" t="str">
        <f>IFERROR(VLOOKUP(AT152,'Seguridad Información'!$I$61:$J$65,2,0),"")</f>
        <v/>
      </c>
      <c r="AV152" s="83"/>
      <c r="AW152" s="82" t="str">
        <f t="shared" si="24"/>
        <v/>
      </c>
      <c r="AX152" s="81" t="str">
        <f t="shared" si="34"/>
        <v/>
      </c>
      <c r="AY152" s="22" t="str">
        <f>IFERROR(VLOOKUP((CONCATENATE(AM152,AX152)),Listados!$U$3:$V$11,2,FALSE),"")</f>
        <v/>
      </c>
      <c r="AZ152" s="111">
        <f t="shared" si="35"/>
        <v>100</v>
      </c>
      <c r="BA152" s="717"/>
      <c r="BB152" s="761"/>
      <c r="BC152" s="142">
        <f>+IF(AND(W152="Preventivo",BB151="Fuerte"),2,IF(AND(W152="Preventivo",BB151="Moderado"),1,0))</f>
        <v>0</v>
      </c>
      <c r="BD152" s="68">
        <f>+IF(AND(W152="Detectivo/Correctivo",$BB151="Fuerte"),2,IF(AND(W152="Detectivo/Correctivo",$BB152="Moderado"),1,IF(AND(W152="Preventivo",$BB151="Fuerte"),1,0)))</f>
        <v>0</v>
      </c>
      <c r="BE152" s="142" t="e">
        <f>+N151-BC152</f>
        <v>#N/A</v>
      </c>
      <c r="BF152" s="142" t="e">
        <f>+P151-BD152</f>
        <v>#N/A</v>
      </c>
      <c r="BG152" s="713"/>
      <c r="BH152" s="713"/>
      <c r="BI152" s="713"/>
      <c r="BJ152" s="803"/>
      <c r="BK152" s="803"/>
      <c r="BL152" s="803"/>
      <c r="BM152" s="803"/>
    </row>
    <row r="153" spans="1:65" ht="65.150000000000006" customHeight="1" thickBot="1">
      <c r="A153" s="724"/>
      <c r="B153" s="812"/>
      <c r="C153" s="730"/>
      <c r="D153" s="158"/>
      <c r="E153" s="158"/>
      <c r="F153" s="814"/>
      <c r="G153" s="736"/>
      <c r="H153" s="105"/>
      <c r="I153" s="161"/>
      <c r="J153" s="105"/>
      <c r="K153" s="160"/>
      <c r="L153" s="150"/>
      <c r="M153" s="727"/>
      <c r="N153" s="720"/>
      <c r="O153" s="810"/>
      <c r="P153" s="720"/>
      <c r="Q153" s="715"/>
      <c r="R153" s="713"/>
      <c r="S153" s="140"/>
      <c r="T153" s="100"/>
      <c r="U153" s="52" t="s">
        <v>467</v>
      </c>
      <c r="V153" s="145"/>
      <c r="W153" s="145"/>
      <c r="X153" s="145"/>
      <c r="Y153" s="99" t="str">
        <f t="shared" si="25"/>
        <v/>
      </c>
      <c r="Z153" s="145"/>
      <c r="AA153" s="99" t="str">
        <f t="shared" si="26"/>
        <v/>
      </c>
      <c r="AB153" s="140"/>
      <c r="AC153" s="99" t="str">
        <f t="shared" si="27"/>
        <v/>
      </c>
      <c r="AD153" s="140"/>
      <c r="AE153" s="99" t="str">
        <f t="shared" si="28"/>
        <v/>
      </c>
      <c r="AF153" s="140"/>
      <c r="AG153" s="99" t="str">
        <f t="shared" si="29"/>
        <v/>
      </c>
      <c r="AH153" s="140"/>
      <c r="AI153" s="99" t="str">
        <f t="shared" si="30"/>
        <v/>
      </c>
      <c r="AJ153" s="140"/>
      <c r="AK153" s="28" t="str">
        <f t="shared" si="31"/>
        <v/>
      </c>
      <c r="AL153" s="111" t="str">
        <f t="shared" si="32"/>
        <v/>
      </c>
      <c r="AM153" s="111" t="str">
        <f t="shared" si="33"/>
        <v/>
      </c>
      <c r="AN153" s="178"/>
      <c r="AO153" s="178"/>
      <c r="AP153" s="178"/>
      <c r="AQ153" s="178"/>
      <c r="AR153" s="178"/>
      <c r="AS153" s="178"/>
      <c r="AT153" s="178"/>
      <c r="AU153" s="179" t="str">
        <f>IFERROR(VLOOKUP(AT153,'Seguridad Información'!$I$61:$J$65,2,0),"")</f>
        <v/>
      </c>
      <c r="AV153" s="83"/>
      <c r="AW153" s="82" t="str">
        <f t="shared" si="24"/>
        <v/>
      </c>
      <c r="AX153" s="81" t="str">
        <f t="shared" si="34"/>
        <v/>
      </c>
      <c r="AY153" s="22" t="str">
        <f>IFERROR(VLOOKUP((CONCATENATE(AM153,AX153)),Listados!$U$3:$V$11,2,FALSE),"")</f>
        <v/>
      </c>
      <c r="AZ153" s="111">
        <f t="shared" si="35"/>
        <v>100</v>
      </c>
      <c r="BA153" s="717"/>
      <c r="BB153" s="761"/>
      <c r="BC153" s="142">
        <f>+IF(AND(W153="Preventivo",BB151="Fuerte"),2,IF(AND(W153="Preventivo",BB151="Moderado"),1,0))</f>
        <v>0</v>
      </c>
      <c r="BD153" s="68">
        <f>+IF(AND(W153="Detectivo/Correctivo",$BB151="Fuerte"),2,IF(AND(W153="Detectivo/Correctivo",$BB153="Moderado"),1,IF(AND(W153="Preventivo",$BB151="Fuerte"),1,0)))</f>
        <v>0</v>
      </c>
      <c r="BE153" s="142" t="e">
        <f>+N151-BC153</f>
        <v>#N/A</v>
      </c>
      <c r="BF153" s="142" t="e">
        <f>+P151-BD153</f>
        <v>#N/A</v>
      </c>
      <c r="BG153" s="713"/>
      <c r="BH153" s="713"/>
      <c r="BI153" s="713"/>
      <c r="BJ153" s="803"/>
      <c r="BK153" s="803"/>
      <c r="BL153" s="803"/>
      <c r="BM153" s="803"/>
    </row>
    <row r="154" spans="1:65" ht="65.150000000000006" customHeight="1" thickBot="1">
      <c r="A154" s="724"/>
      <c r="B154" s="812"/>
      <c r="C154" s="730"/>
      <c r="D154" s="158"/>
      <c r="E154" s="158"/>
      <c r="F154" s="814"/>
      <c r="G154" s="736"/>
      <c r="H154" s="105"/>
      <c r="I154" s="161"/>
      <c r="J154" s="105"/>
      <c r="K154" s="160"/>
      <c r="L154" s="150"/>
      <c r="M154" s="727"/>
      <c r="N154" s="720"/>
      <c r="O154" s="810"/>
      <c r="P154" s="720"/>
      <c r="Q154" s="715"/>
      <c r="R154" s="713"/>
      <c r="S154" s="140"/>
      <c r="T154" s="101"/>
      <c r="U154" s="52" t="s">
        <v>467</v>
      </c>
      <c r="V154" s="145"/>
      <c r="W154" s="145"/>
      <c r="X154" s="145"/>
      <c r="Y154" s="99" t="str">
        <f t="shared" si="25"/>
        <v/>
      </c>
      <c r="Z154" s="145"/>
      <c r="AA154" s="99" t="str">
        <f t="shared" si="26"/>
        <v/>
      </c>
      <c r="AB154" s="140"/>
      <c r="AC154" s="99" t="str">
        <f t="shared" si="27"/>
        <v/>
      </c>
      <c r="AD154" s="140"/>
      <c r="AE154" s="99" t="str">
        <f t="shared" si="28"/>
        <v/>
      </c>
      <c r="AF154" s="140"/>
      <c r="AG154" s="99" t="str">
        <f t="shared" si="29"/>
        <v/>
      </c>
      <c r="AH154" s="140"/>
      <c r="AI154" s="99" t="str">
        <f t="shared" si="30"/>
        <v/>
      </c>
      <c r="AJ154" s="140"/>
      <c r="AK154" s="28" t="str">
        <f t="shared" si="31"/>
        <v/>
      </c>
      <c r="AL154" s="111" t="str">
        <f t="shared" si="32"/>
        <v/>
      </c>
      <c r="AM154" s="111" t="str">
        <f t="shared" si="33"/>
        <v/>
      </c>
      <c r="AN154" s="178"/>
      <c r="AO154" s="178"/>
      <c r="AP154" s="178"/>
      <c r="AQ154" s="178"/>
      <c r="AR154" s="178"/>
      <c r="AS154" s="178"/>
      <c r="AT154" s="178"/>
      <c r="AU154" s="179" t="str">
        <f>IFERROR(VLOOKUP(AT154,'Seguridad Información'!$I$61:$J$65,2,0),"")</f>
        <v/>
      </c>
      <c r="AV154" s="83"/>
      <c r="AW154" s="82" t="str">
        <f t="shared" si="24"/>
        <v/>
      </c>
      <c r="AX154" s="81" t="str">
        <f t="shared" si="34"/>
        <v/>
      </c>
      <c r="AY154" s="22" t="str">
        <f>IFERROR(VLOOKUP((CONCATENATE(AM154,AX154)),Listados!$U$3:$V$11,2,FALSE),"")</f>
        <v/>
      </c>
      <c r="AZ154" s="111">
        <f t="shared" si="35"/>
        <v>100</v>
      </c>
      <c r="BA154" s="717"/>
      <c r="BB154" s="761"/>
      <c r="BC154" s="142">
        <f>+IF(AND(W154="Preventivo",BB151="Fuerte"),2,IF(AND(W154="Preventivo",BB151="Moderado"),1,0))</f>
        <v>0</v>
      </c>
      <c r="BD154" s="68">
        <f>+IF(AND(W154="Detectivo/Correctivo",$BB151="Fuerte"),2,IF(AND(W154="Detectivo/Correctivo",$BB154="Moderado"),1,IF(AND(W154="Preventivo",$BB151="Fuerte"),1,0)))</f>
        <v>0</v>
      </c>
      <c r="BE154" s="142" t="e">
        <f>+N151-BC154</f>
        <v>#N/A</v>
      </c>
      <c r="BF154" s="142" t="e">
        <f>+P151-BD154</f>
        <v>#N/A</v>
      </c>
      <c r="BG154" s="713"/>
      <c r="BH154" s="713"/>
      <c r="BI154" s="713"/>
      <c r="BJ154" s="803"/>
      <c r="BK154" s="803"/>
      <c r="BL154" s="803"/>
      <c r="BM154" s="803"/>
    </row>
    <row r="155" spans="1:65" ht="65.150000000000006" customHeight="1" thickBot="1">
      <c r="A155" s="724"/>
      <c r="B155" s="812"/>
      <c r="C155" s="730"/>
      <c r="D155" s="116"/>
      <c r="E155" s="116"/>
      <c r="F155" s="814"/>
      <c r="G155" s="736"/>
      <c r="H155" s="105"/>
      <c r="I155" s="161"/>
      <c r="J155" s="105"/>
      <c r="K155" s="29"/>
      <c r="L155" s="150"/>
      <c r="M155" s="727"/>
      <c r="N155" s="720"/>
      <c r="O155" s="810"/>
      <c r="P155" s="720"/>
      <c r="Q155" s="715"/>
      <c r="R155" s="713"/>
      <c r="S155" s="140"/>
      <c r="T155" s="180"/>
      <c r="U155" s="52" t="s">
        <v>467</v>
      </c>
      <c r="V155" s="145"/>
      <c r="W155" s="145"/>
      <c r="X155" s="145"/>
      <c r="Y155" s="99" t="str">
        <f t="shared" si="25"/>
        <v/>
      </c>
      <c r="Z155" s="145"/>
      <c r="AA155" s="99" t="str">
        <f t="shared" si="26"/>
        <v/>
      </c>
      <c r="AB155" s="140"/>
      <c r="AC155" s="99" t="str">
        <f t="shared" si="27"/>
        <v/>
      </c>
      <c r="AD155" s="140"/>
      <c r="AE155" s="99" t="str">
        <f t="shared" si="28"/>
        <v/>
      </c>
      <c r="AF155" s="140"/>
      <c r="AG155" s="99" t="str">
        <f t="shared" si="29"/>
        <v/>
      </c>
      <c r="AH155" s="140"/>
      <c r="AI155" s="99" t="str">
        <f t="shared" si="30"/>
        <v/>
      </c>
      <c r="AJ155" s="140"/>
      <c r="AK155" s="28" t="str">
        <f t="shared" si="31"/>
        <v/>
      </c>
      <c r="AL155" s="111" t="str">
        <f t="shared" si="32"/>
        <v/>
      </c>
      <c r="AM155" s="111" t="str">
        <f t="shared" si="33"/>
        <v/>
      </c>
      <c r="AN155" s="178"/>
      <c r="AO155" s="178"/>
      <c r="AP155" s="178"/>
      <c r="AQ155" s="178"/>
      <c r="AR155" s="178"/>
      <c r="AS155" s="178"/>
      <c r="AT155" s="178"/>
      <c r="AU155" s="179" t="str">
        <f>IFERROR(VLOOKUP(AT155,'Seguridad Información'!$I$61:$J$65,2,0),"")</f>
        <v/>
      </c>
      <c r="AV155" s="83"/>
      <c r="AW155" s="82" t="str">
        <f t="shared" si="24"/>
        <v/>
      </c>
      <c r="AX155" s="81" t="str">
        <f t="shared" si="34"/>
        <v/>
      </c>
      <c r="AY155" s="22" t="str">
        <f>IFERROR(VLOOKUP((CONCATENATE(AM155,AX155)),Listados!$U$3:$V$11,2,FALSE),"")</f>
        <v/>
      </c>
      <c r="AZ155" s="111">
        <f t="shared" si="35"/>
        <v>100</v>
      </c>
      <c r="BA155" s="717"/>
      <c r="BB155" s="761"/>
      <c r="BC155" s="142">
        <f>+IF(AND(W155="Preventivo",BB151="Fuerte"),2,IF(AND(W155="Preventivo",BB151="Moderado"),1,0))</f>
        <v>0</v>
      </c>
      <c r="BD155" s="68">
        <f>+IF(AND(W155="Detectivo/Correctivo",$BB151="Fuerte"),2,IF(AND(W155="Detectivo/Correctivo",$BB155="Moderado"),1,IF(AND(W155="Preventivo",$BB151="Fuerte"),1,0)))</f>
        <v>0</v>
      </c>
      <c r="BE155" s="142" t="e">
        <f>+N151-BC155</f>
        <v>#N/A</v>
      </c>
      <c r="BF155" s="142" t="e">
        <f>+P151-BD155</f>
        <v>#N/A</v>
      </c>
      <c r="BG155" s="713"/>
      <c r="BH155" s="713"/>
      <c r="BI155" s="713"/>
      <c r="BJ155" s="803"/>
      <c r="BK155" s="803"/>
      <c r="BL155" s="803"/>
      <c r="BM155" s="803"/>
    </row>
    <row r="156" spans="1:65" ht="65.150000000000006" customHeight="1" thickBot="1">
      <c r="A156" s="725"/>
      <c r="B156" s="812"/>
      <c r="C156" s="731"/>
      <c r="D156" s="113"/>
      <c r="E156" s="113"/>
      <c r="F156" s="815"/>
      <c r="G156" s="781"/>
      <c r="H156" s="105"/>
      <c r="I156" s="161"/>
      <c r="J156" s="105"/>
      <c r="K156" s="30"/>
      <c r="L156" s="150"/>
      <c r="M156" s="727"/>
      <c r="N156" s="721"/>
      <c r="O156" s="810"/>
      <c r="P156" s="721"/>
      <c r="Q156" s="715"/>
      <c r="R156" s="714"/>
      <c r="S156" s="140"/>
      <c r="T156" s="102"/>
      <c r="U156" s="52" t="s">
        <v>467</v>
      </c>
      <c r="V156" s="145"/>
      <c r="W156" s="145"/>
      <c r="X156" s="145"/>
      <c r="Y156" s="99" t="str">
        <f t="shared" si="25"/>
        <v/>
      </c>
      <c r="Z156" s="145"/>
      <c r="AA156" s="99" t="str">
        <f t="shared" si="26"/>
        <v/>
      </c>
      <c r="AB156" s="140"/>
      <c r="AC156" s="99" t="str">
        <f t="shared" si="27"/>
        <v/>
      </c>
      <c r="AD156" s="140"/>
      <c r="AE156" s="99" t="str">
        <f t="shared" si="28"/>
        <v/>
      </c>
      <c r="AF156" s="140"/>
      <c r="AG156" s="99" t="str">
        <f t="shared" si="29"/>
        <v/>
      </c>
      <c r="AH156" s="140"/>
      <c r="AI156" s="99" t="str">
        <f t="shared" si="30"/>
        <v/>
      </c>
      <c r="AJ156" s="140"/>
      <c r="AK156" s="28" t="str">
        <f t="shared" si="31"/>
        <v/>
      </c>
      <c r="AL156" s="111" t="str">
        <f t="shared" si="32"/>
        <v/>
      </c>
      <c r="AM156" s="111" t="str">
        <f t="shared" si="33"/>
        <v/>
      </c>
      <c r="AN156" s="178"/>
      <c r="AO156" s="178"/>
      <c r="AP156" s="178"/>
      <c r="AQ156" s="178"/>
      <c r="AR156" s="178"/>
      <c r="AS156" s="178"/>
      <c r="AT156" s="178"/>
      <c r="AU156" s="179" t="str">
        <f>IFERROR(VLOOKUP(AT156,'Seguridad Información'!$I$61:$J$65,2,0),"")</f>
        <v/>
      </c>
      <c r="AV156" s="83"/>
      <c r="AW156" s="82" t="str">
        <f t="shared" si="24"/>
        <v/>
      </c>
      <c r="AX156" s="81" t="str">
        <f t="shared" si="34"/>
        <v/>
      </c>
      <c r="AY156" s="22" t="str">
        <f>IFERROR(VLOOKUP((CONCATENATE(AM156,AX156)),Listados!$U$3:$V$11,2,FALSE),"")</f>
        <v/>
      </c>
      <c r="AZ156" s="111">
        <f t="shared" si="35"/>
        <v>100</v>
      </c>
      <c r="BA156" s="718"/>
      <c r="BB156" s="761"/>
      <c r="BC156" s="142">
        <f>+IF(AND(W156="Preventivo",BB151="Fuerte"),2,IF(AND(W156="Preventivo",BB151="Moderado"),1,0))</f>
        <v>0</v>
      </c>
      <c r="BD156" s="68">
        <f>+IF(AND(W156="Detectivo/Correctivo",$BB151="Fuerte"),2,IF(AND(W156="Detectivo/Correctivo",$BB156="Moderado"),1,IF(AND(W156="Preventivo",$BB151="Fuerte"),1,0)))</f>
        <v>0</v>
      </c>
      <c r="BE156" s="142" t="e">
        <f>+N151-BC156</f>
        <v>#N/A</v>
      </c>
      <c r="BF156" s="142" t="e">
        <f>+P151-BD156</f>
        <v>#N/A</v>
      </c>
      <c r="BG156" s="714"/>
      <c r="BH156" s="714"/>
      <c r="BI156" s="714"/>
      <c r="BJ156" s="804"/>
      <c r="BK156" s="804"/>
      <c r="BL156" s="804"/>
      <c r="BM156" s="804"/>
    </row>
    <row r="157" spans="1:65" ht="65.150000000000006" customHeight="1" thickBot="1">
      <c r="A157" s="723">
        <v>26</v>
      </c>
      <c r="B157" s="811"/>
      <c r="C157" s="729" t="str">
        <f>IFERROR(VLOOKUP(B157,Listados!B$3:C$20,2,FALSE),"")</f>
        <v/>
      </c>
      <c r="D157" s="114"/>
      <c r="E157" s="114"/>
      <c r="F157" s="813"/>
      <c r="G157" s="735"/>
      <c r="H157" s="105"/>
      <c r="I157" s="161"/>
      <c r="J157" s="105"/>
      <c r="K157" s="109"/>
      <c r="L157" s="18"/>
      <c r="M157" s="762"/>
      <c r="N157" s="719" t="e">
        <f>+VLOOKUP(M157,Listados!$K$8:$L$12,2,0)</f>
        <v>#N/A</v>
      </c>
      <c r="O157" s="809"/>
      <c r="P157" s="719" t="e">
        <f>+VLOOKUP(O157,Listados!$K$13:$L$17,2,0)</f>
        <v>#N/A</v>
      </c>
      <c r="Q157" s="714" t="str">
        <f>IF(AND(M157&lt;&gt;"",O157&lt;&gt;""),VLOOKUP(M157&amp;O157,Listados!$M$3:$N$27,2,FALSE),"")</f>
        <v/>
      </c>
      <c r="R157" s="712" t="e">
        <f>+VLOOKUP(Q157,Listados!$P$3:$Q$6,2,FALSE)</f>
        <v>#N/A</v>
      </c>
      <c r="S157" s="140"/>
      <c r="T157" s="98"/>
      <c r="U157" s="52" t="s">
        <v>467</v>
      </c>
      <c r="V157" s="145"/>
      <c r="W157" s="145"/>
      <c r="X157" s="145"/>
      <c r="Y157" s="99" t="str">
        <f t="shared" si="25"/>
        <v/>
      </c>
      <c r="Z157" s="145"/>
      <c r="AA157" s="99" t="str">
        <f t="shared" si="26"/>
        <v/>
      </c>
      <c r="AB157" s="140"/>
      <c r="AC157" s="99" t="str">
        <f t="shared" si="27"/>
        <v/>
      </c>
      <c r="AD157" s="140"/>
      <c r="AE157" s="99" t="str">
        <f t="shared" si="28"/>
        <v/>
      </c>
      <c r="AF157" s="140"/>
      <c r="AG157" s="99" t="str">
        <f t="shared" si="29"/>
        <v/>
      </c>
      <c r="AH157" s="140"/>
      <c r="AI157" s="99" t="str">
        <f t="shared" si="30"/>
        <v/>
      </c>
      <c r="AJ157" s="140"/>
      <c r="AK157" s="28" t="str">
        <f t="shared" si="31"/>
        <v/>
      </c>
      <c r="AL157" s="111" t="str">
        <f t="shared" si="32"/>
        <v/>
      </c>
      <c r="AM157" s="111" t="str">
        <f t="shared" si="33"/>
        <v/>
      </c>
      <c r="AN157" s="178"/>
      <c r="AO157" s="178"/>
      <c r="AP157" s="178"/>
      <c r="AQ157" s="178"/>
      <c r="AR157" s="178"/>
      <c r="AS157" s="178"/>
      <c r="AT157" s="178"/>
      <c r="AU157" s="179" t="str">
        <f>IFERROR(VLOOKUP(AT157,'Seguridad Información'!$I$61:$J$65,2,0),"")</f>
        <v/>
      </c>
      <c r="AV157" s="83"/>
      <c r="AW157" s="82" t="str">
        <f t="shared" si="24"/>
        <v/>
      </c>
      <c r="AX157" s="81" t="str">
        <f t="shared" si="34"/>
        <v/>
      </c>
      <c r="AY157" s="22" t="str">
        <f>IFERROR(VLOOKUP((CONCATENATE(AM157,AX157)),Listados!$U$3:$V$11,2,FALSE),"")</f>
        <v/>
      </c>
      <c r="AZ157" s="111">
        <f t="shared" si="35"/>
        <v>100</v>
      </c>
      <c r="BA157" s="716">
        <f>AVERAGE(AZ157:AZ162)</f>
        <v>100</v>
      </c>
      <c r="BB157" s="718" t="str">
        <f>IF(BA157&lt;=50, "Débil", IF(BA157&lt;=99,"Moderado","Fuerte"))</f>
        <v>Fuerte</v>
      </c>
      <c r="BC157" s="142">
        <f>+IF(AND(W157="Preventivo",BB157="Fuerte"),2,IF(AND(W157="Preventivo",BB157="Moderado"),1,0))</f>
        <v>0</v>
      </c>
      <c r="BD157" s="68">
        <f>+IF(AND(W157="Detectivo/Correctivo",$BB157="Fuerte"),2,IF(AND(W157="Detectivo/Correctivo",$BB157="Moderado"),1,IF(AND(W157="Preventivo",$BB157="Fuerte"),1,0)))</f>
        <v>0</v>
      </c>
      <c r="BE157" s="142" t="e">
        <f>+N157-BC157</f>
        <v>#N/A</v>
      </c>
      <c r="BF157" s="142" t="e">
        <f>+P157-BD157</f>
        <v>#N/A</v>
      </c>
      <c r="BG157" s="712" t="e">
        <f>+VLOOKUP(MIN(BE157,BE158,BE159,BE160,BE161,BE162),Listados!$J$18:$K$24,2,TRUE)</f>
        <v>#N/A</v>
      </c>
      <c r="BH157" s="712" t="e">
        <f>+VLOOKUP(MIN(BF157,BF158,BF159,BF160,BF161,BF162),Listados!$J$27:$K$32,2,TRUE)</f>
        <v>#N/A</v>
      </c>
      <c r="BI157" s="712" t="e">
        <f>IF(AND(BG157&lt;&gt;"",BH157&lt;&gt;""),VLOOKUP(BG157&amp;BH157,Listados!$M$3:$N$27,2,FALSE),"")</f>
        <v>#N/A</v>
      </c>
      <c r="BJ157" s="802" t="e">
        <f>+IF($R157="Asumir el riesgo","NA","")</f>
        <v>#N/A</v>
      </c>
      <c r="BK157" s="802" t="e">
        <f>+IF($R157="Asumir el riesgo","NA","")</f>
        <v>#N/A</v>
      </c>
      <c r="BL157" s="802" t="e">
        <f>+IF($R157="Asumir el riesgo","NA","")</f>
        <v>#N/A</v>
      </c>
      <c r="BM157" s="802" t="e">
        <f>+IF($R157="Asumir el riesgo","NA","")</f>
        <v>#N/A</v>
      </c>
    </row>
    <row r="158" spans="1:65" ht="65.150000000000006" customHeight="1" thickBot="1">
      <c r="A158" s="724"/>
      <c r="B158" s="812"/>
      <c r="C158" s="730"/>
      <c r="D158" s="158"/>
      <c r="E158" s="158"/>
      <c r="F158" s="814"/>
      <c r="G158" s="736"/>
      <c r="H158" s="105"/>
      <c r="I158" s="161"/>
      <c r="J158" s="105"/>
      <c r="K158" s="160"/>
      <c r="L158" s="150"/>
      <c r="M158" s="727"/>
      <c r="N158" s="720"/>
      <c r="O158" s="810"/>
      <c r="P158" s="720"/>
      <c r="Q158" s="715"/>
      <c r="R158" s="713"/>
      <c r="S158" s="140"/>
      <c r="T158" s="180"/>
      <c r="U158" s="52" t="s">
        <v>467</v>
      </c>
      <c r="V158" s="145"/>
      <c r="W158" s="145"/>
      <c r="X158" s="145"/>
      <c r="Y158" s="99" t="str">
        <f t="shared" si="25"/>
        <v/>
      </c>
      <c r="Z158" s="145"/>
      <c r="AA158" s="99" t="str">
        <f t="shared" si="26"/>
        <v/>
      </c>
      <c r="AB158" s="140"/>
      <c r="AC158" s="99" t="str">
        <f t="shared" si="27"/>
        <v/>
      </c>
      <c r="AD158" s="140"/>
      <c r="AE158" s="99" t="str">
        <f t="shared" si="28"/>
        <v/>
      </c>
      <c r="AF158" s="140"/>
      <c r="AG158" s="99" t="str">
        <f t="shared" si="29"/>
        <v/>
      </c>
      <c r="AH158" s="140"/>
      <c r="AI158" s="99" t="str">
        <f t="shared" si="30"/>
        <v/>
      </c>
      <c r="AJ158" s="140"/>
      <c r="AK158" s="28" t="str">
        <f t="shared" si="31"/>
        <v/>
      </c>
      <c r="AL158" s="111" t="str">
        <f t="shared" si="32"/>
        <v/>
      </c>
      <c r="AM158" s="111" t="str">
        <f t="shared" si="33"/>
        <v/>
      </c>
      <c r="AN158" s="178"/>
      <c r="AO158" s="178"/>
      <c r="AP158" s="178"/>
      <c r="AQ158" s="178"/>
      <c r="AR158" s="178"/>
      <c r="AS158" s="178"/>
      <c r="AT158" s="178"/>
      <c r="AU158" s="179" t="str">
        <f>IFERROR(VLOOKUP(AT158,'Seguridad Información'!$I$61:$J$65,2,0),"")</f>
        <v/>
      </c>
      <c r="AV158" s="83"/>
      <c r="AW158" s="82" t="str">
        <f t="shared" si="24"/>
        <v/>
      </c>
      <c r="AX158" s="81" t="str">
        <f t="shared" si="34"/>
        <v/>
      </c>
      <c r="AY158" s="22" t="str">
        <f>IFERROR(VLOOKUP((CONCATENATE(AM158,AX158)),Listados!$U$3:$V$11,2,FALSE),"")</f>
        <v/>
      </c>
      <c r="AZ158" s="111">
        <f t="shared" si="35"/>
        <v>100</v>
      </c>
      <c r="BA158" s="717"/>
      <c r="BB158" s="761"/>
      <c r="BC158" s="142">
        <f>+IF(AND(W158="Preventivo",BB157="Fuerte"),2,IF(AND(W158="Preventivo",BB157="Moderado"),1,0))</f>
        <v>0</v>
      </c>
      <c r="BD158" s="68">
        <f>+IF(AND(W158="Detectivo/Correctivo",$BB157="Fuerte"),2,IF(AND(W158="Detectivo/Correctivo",$BB158="Moderado"),1,IF(AND(W158="Preventivo",$BB157="Fuerte"),1,0)))</f>
        <v>0</v>
      </c>
      <c r="BE158" s="142" t="e">
        <f>+N157-BC158</f>
        <v>#N/A</v>
      </c>
      <c r="BF158" s="142" t="e">
        <f>+P157-BD158</f>
        <v>#N/A</v>
      </c>
      <c r="BG158" s="713"/>
      <c r="BH158" s="713"/>
      <c r="BI158" s="713"/>
      <c r="BJ158" s="803"/>
      <c r="BK158" s="803"/>
      <c r="BL158" s="803"/>
      <c r="BM158" s="803"/>
    </row>
    <row r="159" spans="1:65" ht="65.150000000000006" customHeight="1" thickBot="1">
      <c r="A159" s="724"/>
      <c r="B159" s="812"/>
      <c r="C159" s="730"/>
      <c r="D159" s="158"/>
      <c r="E159" s="158"/>
      <c r="F159" s="814"/>
      <c r="G159" s="736"/>
      <c r="H159" s="105"/>
      <c r="I159" s="161"/>
      <c r="J159" s="105"/>
      <c r="K159" s="160"/>
      <c r="L159" s="150"/>
      <c r="M159" s="727"/>
      <c r="N159" s="720"/>
      <c r="O159" s="810"/>
      <c r="P159" s="720"/>
      <c r="Q159" s="715"/>
      <c r="R159" s="713"/>
      <c r="S159" s="140"/>
      <c r="T159" s="100"/>
      <c r="U159" s="52" t="s">
        <v>467</v>
      </c>
      <c r="V159" s="145"/>
      <c r="W159" s="145"/>
      <c r="X159" s="145"/>
      <c r="Y159" s="99" t="str">
        <f t="shared" si="25"/>
        <v/>
      </c>
      <c r="Z159" s="145"/>
      <c r="AA159" s="99" t="str">
        <f t="shared" si="26"/>
        <v/>
      </c>
      <c r="AB159" s="140"/>
      <c r="AC159" s="99" t="str">
        <f t="shared" si="27"/>
        <v/>
      </c>
      <c r="AD159" s="140"/>
      <c r="AE159" s="99" t="str">
        <f t="shared" si="28"/>
        <v/>
      </c>
      <c r="AF159" s="140"/>
      <c r="AG159" s="99" t="str">
        <f t="shared" si="29"/>
        <v/>
      </c>
      <c r="AH159" s="140"/>
      <c r="AI159" s="99" t="str">
        <f t="shared" si="30"/>
        <v/>
      </c>
      <c r="AJ159" s="140"/>
      <c r="AK159" s="28" t="str">
        <f t="shared" si="31"/>
        <v/>
      </c>
      <c r="AL159" s="111" t="str">
        <f t="shared" si="32"/>
        <v/>
      </c>
      <c r="AM159" s="111" t="str">
        <f t="shared" si="33"/>
        <v/>
      </c>
      <c r="AN159" s="178"/>
      <c r="AO159" s="178"/>
      <c r="AP159" s="178"/>
      <c r="AQ159" s="178"/>
      <c r="AR159" s="178"/>
      <c r="AS159" s="178"/>
      <c r="AT159" s="178"/>
      <c r="AU159" s="179" t="str">
        <f>IFERROR(VLOOKUP(AT159,'Seguridad Información'!$I$61:$J$65,2,0),"")</f>
        <v/>
      </c>
      <c r="AV159" s="83"/>
      <c r="AW159" s="82" t="str">
        <f t="shared" si="24"/>
        <v/>
      </c>
      <c r="AX159" s="81" t="str">
        <f t="shared" si="34"/>
        <v/>
      </c>
      <c r="AY159" s="22" t="str">
        <f>IFERROR(VLOOKUP((CONCATENATE(AM159,AX159)),Listados!$U$3:$V$11,2,FALSE),"")</f>
        <v/>
      </c>
      <c r="AZ159" s="111">
        <f t="shared" si="35"/>
        <v>100</v>
      </c>
      <c r="BA159" s="717"/>
      <c r="BB159" s="761"/>
      <c r="BC159" s="142">
        <f>+IF(AND(W159="Preventivo",BB157="Fuerte"),2,IF(AND(W159="Preventivo",BB157="Moderado"),1,0))</f>
        <v>0</v>
      </c>
      <c r="BD159" s="68">
        <f>+IF(AND(W159="Detectivo/Correctivo",$BB157="Fuerte"),2,IF(AND(W159="Detectivo/Correctivo",$BB159="Moderado"),1,IF(AND(W159="Preventivo",$BB157="Fuerte"),1,0)))</f>
        <v>0</v>
      </c>
      <c r="BE159" s="142" t="e">
        <f>+N157-BC159</f>
        <v>#N/A</v>
      </c>
      <c r="BF159" s="142" t="e">
        <f>+P157-BD159</f>
        <v>#N/A</v>
      </c>
      <c r="BG159" s="713"/>
      <c r="BH159" s="713"/>
      <c r="BI159" s="713"/>
      <c r="BJ159" s="803"/>
      <c r="BK159" s="803"/>
      <c r="BL159" s="803"/>
      <c r="BM159" s="803"/>
    </row>
    <row r="160" spans="1:65" ht="65.150000000000006" customHeight="1" thickBot="1">
      <c r="A160" s="724"/>
      <c r="B160" s="812"/>
      <c r="C160" s="730"/>
      <c r="D160" s="158"/>
      <c r="E160" s="158"/>
      <c r="F160" s="814"/>
      <c r="G160" s="736"/>
      <c r="H160" s="105"/>
      <c r="I160" s="161"/>
      <c r="J160" s="105"/>
      <c r="K160" s="160"/>
      <c r="L160" s="150"/>
      <c r="M160" s="727"/>
      <c r="N160" s="720"/>
      <c r="O160" s="810"/>
      <c r="P160" s="720"/>
      <c r="Q160" s="715"/>
      <c r="R160" s="713"/>
      <c r="S160" s="140"/>
      <c r="T160" s="101"/>
      <c r="U160" s="52" t="s">
        <v>467</v>
      </c>
      <c r="V160" s="145"/>
      <c r="W160" s="145"/>
      <c r="X160" s="145"/>
      <c r="Y160" s="99" t="str">
        <f t="shared" si="25"/>
        <v/>
      </c>
      <c r="Z160" s="145"/>
      <c r="AA160" s="99" t="str">
        <f t="shared" si="26"/>
        <v/>
      </c>
      <c r="AB160" s="140"/>
      <c r="AC160" s="99" t="str">
        <f t="shared" si="27"/>
        <v/>
      </c>
      <c r="AD160" s="140"/>
      <c r="AE160" s="99" t="str">
        <f t="shared" si="28"/>
        <v/>
      </c>
      <c r="AF160" s="140"/>
      <c r="AG160" s="99" t="str">
        <f t="shared" si="29"/>
        <v/>
      </c>
      <c r="AH160" s="140"/>
      <c r="AI160" s="99" t="str">
        <f t="shared" si="30"/>
        <v/>
      </c>
      <c r="AJ160" s="140"/>
      <c r="AK160" s="28" t="str">
        <f t="shared" si="31"/>
        <v/>
      </c>
      <c r="AL160" s="111" t="str">
        <f t="shared" si="32"/>
        <v/>
      </c>
      <c r="AM160" s="111" t="str">
        <f t="shared" si="33"/>
        <v/>
      </c>
      <c r="AN160" s="178"/>
      <c r="AO160" s="178"/>
      <c r="AP160" s="178"/>
      <c r="AQ160" s="178"/>
      <c r="AR160" s="178"/>
      <c r="AS160" s="178"/>
      <c r="AT160" s="178"/>
      <c r="AU160" s="179" t="str">
        <f>IFERROR(VLOOKUP(AT160,'Seguridad Información'!$I$61:$J$65,2,0),"")</f>
        <v/>
      </c>
      <c r="AV160" s="83"/>
      <c r="AW160" s="82" t="str">
        <f t="shared" si="24"/>
        <v/>
      </c>
      <c r="AX160" s="81" t="str">
        <f t="shared" si="34"/>
        <v/>
      </c>
      <c r="AY160" s="22" t="str">
        <f>IFERROR(VLOOKUP((CONCATENATE(AM160,AX160)),Listados!$U$3:$V$11,2,FALSE),"")</f>
        <v/>
      </c>
      <c r="AZ160" s="111">
        <f t="shared" si="35"/>
        <v>100</v>
      </c>
      <c r="BA160" s="717"/>
      <c r="BB160" s="761"/>
      <c r="BC160" s="142">
        <f>+IF(AND(W160="Preventivo",BB157="Fuerte"),2,IF(AND(W160="Preventivo",BB157="Moderado"),1,0))</f>
        <v>0</v>
      </c>
      <c r="BD160" s="68">
        <f>+IF(AND(W160="Detectivo/Correctivo",$BB157="Fuerte"),2,IF(AND(W160="Detectivo/Correctivo",$BB160="Moderado"),1,IF(AND(W160="Preventivo",$BB157="Fuerte"),1,0)))</f>
        <v>0</v>
      </c>
      <c r="BE160" s="142" t="e">
        <f>+N157-BC160</f>
        <v>#N/A</v>
      </c>
      <c r="BF160" s="142" t="e">
        <f>+P157-BD160</f>
        <v>#N/A</v>
      </c>
      <c r="BG160" s="713"/>
      <c r="BH160" s="713"/>
      <c r="BI160" s="713"/>
      <c r="BJ160" s="803"/>
      <c r="BK160" s="803"/>
      <c r="BL160" s="803"/>
      <c r="BM160" s="803"/>
    </row>
    <row r="161" spans="1:65" ht="65.150000000000006" customHeight="1" thickBot="1">
      <c r="A161" s="724"/>
      <c r="B161" s="812"/>
      <c r="C161" s="730"/>
      <c r="D161" s="116"/>
      <c r="E161" s="116"/>
      <c r="F161" s="814"/>
      <c r="G161" s="736"/>
      <c r="H161" s="105"/>
      <c r="I161" s="161"/>
      <c r="J161" s="105"/>
      <c r="K161" s="29"/>
      <c r="L161" s="150"/>
      <c r="M161" s="727"/>
      <c r="N161" s="720"/>
      <c r="O161" s="810"/>
      <c r="P161" s="720"/>
      <c r="Q161" s="715"/>
      <c r="R161" s="713"/>
      <c r="S161" s="140"/>
      <c r="T161" s="180"/>
      <c r="U161" s="52" t="s">
        <v>467</v>
      </c>
      <c r="V161" s="145"/>
      <c r="W161" s="145"/>
      <c r="X161" s="145"/>
      <c r="Y161" s="99" t="str">
        <f t="shared" si="25"/>
        <v/>
      </c>
      <c r="Z161" s="145"/>
      <c r="AA161" s="99" t="str">
        <f t="shared" si="26"/>
        <v/>
      </c>
      <c r="AB161" s="140"/>
      <c r="AC161" s="99" t="str">
        <f t="shared" si="27"/>
        <v/>
      </c>
      <c r="AD161" s="140"/>
      <c r="AE161" s="99" t="str">
        <f t="shared" si="28"/>
        <v/>
      </c>
      <c r="AF161" s="140"/>
      <c r="AG161" s="99" t="str">
        <f t="shared" si="29"/>
        <v/>
      </c>
      <c r="AH161" s="140"/>
      <c r="AI161" s="99" t="str">
        <f t="shared" si="30"/>
        <v/>
      </c>
      <c r="AJ161" s="140"/>
      <c r="AK161" s="28" t="str">
        <f t="shared" si="31"/>
        <v/>
      </c>
      <c r="AL161" s="111" t="str">
        <f t="shared" si="32"/>
        <v/>
      </c>
      <c r="AM161" s="111" t="str">
        <f t="shared" si="33"/>
        <v/>
      </c>
      <c r="AN161" s="178"/>
      <c r="AO161" s="178"/>
      <c r="AP161" s="178"/>
      <c r="AQ161" s="178"/>
      <c r="AR161" s="178"/>
      <c r="AS161" s="178"/>
      <c r="AT161" s="178"/>
      <c r="AU161" s="179" t="str">
        <f>IFERROR(VLOOKUP(AT161,'Seguridad Información'!$I$61:$J$65,2,0),"")</f>
        <v/>
      </c>
      <c r="AV161" s="83"/>
      <c r="AW161" s="82" t="str">
        <f t="shared" si="24"/>
        <v/>
      </c>
      <c r="AX161" s="81" t="str">
        <f t="shared" si="34"/>
        <v/>
      </c>
      <c r="AY161" s="22" t="str">
        <f>IFERROR(VLOOKUP((CONCATENATE(AM161,AX161)),Listados!$U$3:$V$11,2,FALSE),"")</f>
        <v/>
      </c>
      <c r="AZ161" s="111">
        <f t="shared" si="35"/>
        <v>100</v>
      </c>
      <c r="BA161" s="717"/>
      <c r="BB161" s="761"/>
      <c r="BC161" s="142">
        <f>+IF(AND(W161="Preventivo",BB157="Fuerte"),2,IF(AND(W161="Preventivo",BB157="Moderado"),1,0))</f>
        <v>0</v>
      </c>
      <c r="BD161" s="68">
        <f>+IF(AND(W161="Detectivo/Correctivo",$BB157="Fuerte"),2,IF(AND(W161="Detectivo/Correctivo",$BB161="Moderado"),1,IF(AND(W161="Preventivo",$BB157="Fuerte"),1,0)))</f>
        <v>0</v>
      </c>
      <c r="BE161" s="142" t="e">
        <f>+N157-BC161</f>
        <v>#N/A</v>
      </c>
      <c r="BF161" s="142" t="e">
        <f>+P157-BD161</f>
        <v>#N/A</v>
      </c>
      <c r="BG161" s="713"/>
      <c r="BH161" s="713"/>
      <c r="BI161" s="713"/>
      <c r="BJ161" s="803"/>
      <c r="BK161" s="803"/>
      <c r="BL161" s="803"/>
      <c r="BM161" s="803"/>
    </row>
    <row r="162" spans="1:65" ht="65.150000000000006" customHeight="1" thickBot="1">
      <c r="A162" s="725"/>
      <c r="B162" s="812"/>
      <c r="C162" s="731"/>
      <c r="D162" s="113"/>
      <c r="E162" s="113"/>
      <c r="F162" s="815"/>
      <c r="G162" s="781"/>
      <c r="H162" s="105"/>
      <c r="I162" s="161"/>
      <c r="J162" s="105"/>
      <c r="K162" s="30"/>
      <c r="L162" s="150"/>
      <c r="M162" s="727"/>
      <c r="N162" s="721"/>
      <c r="O162" s="810"/>
      <c r="P162" s="721"/>
      <c r="Q162" s="715"/>
      <c r="R162" s="714"/>
      <c r="S162" s="140"/>
      <c r="T162" s="102"/>
      <c r="U162" s="52" t="s">
        <v>467</v>
      </c>
      <c r="V162" s="145"/>
      <c r="W162" s="145"/>
      <c r="X162" s="145"/>
      <c r="Y162" s="99" t="str">
        <f t="shared" si="25"/>
        <v/>
      </c>
      <c r="Z162" s="145"/>
      <c r="AA162" s="99" t="str">
        <f t="shared" si="26"/>
        <v/>
      </c>
      <c r="AB162" s="140"/>
      <c r="AC162" s="99" t="str">
        <f t="shared" si="27"/>
        <v/>
      </c>
      <c r="AD162" s="140"/>
      <c r="AE162" s="99" t="str">
        <f t="shared" si="28"/>
        <v/>
      </c>
      <c r="AF162" s="140"/>
      <c r="AG162" s="99" t="str">
        <f t="shared" si="29"/>
        <v/>
      </c>
      <c r="AH162" s="140"/>
      <c r="AI162" s="99" t="str">
        <f t="shared" si="30"/>
        <v/>
      </c>
      <c r="AJ162" s="140"/>
      <c r="AK162" s="28" t="str">
        <f t="shared" si="31"/>
        <v/>
      </c>
      <c r="AL162" s="111" t="str">
        <f t="shared" si="32"/>
        <v/>
      </c>
      <c r="AM162" s="111" t="str">
        <f t="shared" si="33"/>
        <v/>
      </c>
      <c r="AN162" s="178"/>
      <c r="AO162" s="178"/>
      <c r="AP162" s="178"/>
      <c r="AQ162" s="178"/>
      <c r="AR162" s="178"/>
      <c r="AS162" s="178"/>
      <c r="AT162" s="178"/>
      <c r="AU162" s="179" t="str">
        <f>IFERROR(VLOOKUP(AT162,'Seguridad Información'!$I$61:$J$65,2,0),"")</f>
        <v/>
      </c>
      <c r="AV162" s="83"/>
      <c r="AW162" s="82" t="str">
        <f t="shared" si="24"/>
        <v/>
      </c>
      <c r="AX162" s="81" t="str">
        <f t="shared" si="34"/>
        <v/>
      </c>
      <c r="AY162" s="22" t="str">
        <f>IFERROR(VLOOKUP((CONCATENATE(AM162,AX162)),Listados!$U$3:$V$11,2,FALSE),"")</f>
        <v/>
      </c>
      <c r="AZ162" s="111">
        <f t="shared" si="35"/>
        <v>100</v>
      </c>
      <c r="BA162" s="718"/>
      <c r="BB162" s="761"/>
      <c r="BC162" s="142">
        <f>+IF(AND(W162="Preventivo",BB157="Fuerte"),2,IF(AND(W162="Preventivo",BB157="Moderado"),1,0))</f>
        <v>0</v>
      </c>
      <c r="BD162" s="68">
        <f>+IF(AND(W162="Detectivo/Correctivo",$BB157="Fuerte"),2,IF(AND(W162="Detectivo/Correctivo",$BB162="Moderado"),1,IF(AND(W162="Preventivo",$BB157="Fuerte"),1,0)))</f>
        <v>0</v>
      </c>
      <c r="BE162" s="142" t="e">
        <f>+N157-BC162</f>
        <v>#N/A</v>
      </c>
      <c r="BF162" s="142" t="e">
        <f>+P157-BD162</f>
        <v>#N/A</v>
      </c>
      <c r="BG162" s="714"/>
      <c r="BH162" s="714"/>
      <c r="BI162" s="714"/>
      <c r="BJ162" s="804"/>
      <c r="BK162" s="804"/>
      <c r="BL162" s="804"/>
      <c r="BM162" s="804"/>
    </row>
    <row r="163" spans="1:65" ht="65.150000000000006" customHeight="1" thickBot="1">
      <c r="A163" s="723">
        <v>27</v>
      </c>
      <c r="B163" s="811"/>
      <c r="C163" s="729" t="str">
        <f>IFERROR(VLOOKUP(B163,Listados!B$3:C$20,2,FALSE),"")</f>
        <v/>
      </c>
      <c r="D163" s="114"/>
      <c r="E163" s="114"/>
      <c r="F163" s="813"/>
      <c r="G163" s="735"/>
      <c r="H163" s="105"/>
      <c r="I163" s="161"/>
      <c r="J163" s="105"/>
      <c r="K163" s="109"/>
      <c r="L163" s="18"/>
      <c r="M163" s="762"/>
      <c r="N163" s="719" t="e">
        <f>+VLOOKUP(M163,Listados!$K$8:$L$12,2,0)</f>
        <v>#N/A</v>
      </c>
      <c r="O163" s="809"/>
      <c r="P163" s="719" t="e">
        <f>+VLOOKUP(O163,Listados!$K$13:$L$17,2,0)</f>
        <v>#N/A</v>
      </c>
      <c r="Q163" s="714" t="str">
        <f>IF(AND(M163&lt;&gt;"",O163&lt;&gt;""),VLOOKUP(M163&amp;O163,Listados!$M$3:$N$27,2,FALSE),"")</f>
        <v/>
      </c>
      <c r="R163" s="712" t="e">
        <f>+VLOOKUP(Q163,Listados!$P$3:$Q$6,2,FALSE)</f>
        <v>#N/A</v>
      </c>
      <c r="S163" s="140"/>
      <c r="T163" s="98"/>
      <c r="U163" s="52" t="s">
        <v>467</v>
      </c>
      <c r="V163" s="145"/>
      <c r="W163" s="145"/>
      <c r="X163" s="145"/>
      <c r="Y163" s="99" t="str">
        <f t="shared" si="25"/>
        <v/>
      </c>
      <c r="Z163" s="145"/>
      <c r="AA163" s="99" t="str">
        <f t="shared" si="26"/>
        <v/>
      </c>
      <c r="AB163" s="140"/>
      <c r="AC163" s="99" t="str">
        <f t="shared" si="27"/>
        <v/>
      </c>
      <c r="AD163" s="140"/>
      <c r="AE163" s="99" t="str">
        <f t="shared" si="28"/>
        <v/>
      </c>
      <c r="AF163" s="140"/>
      <c r="AG163" s="99" t="str">
        <f t="shared" si="29"/>
        <v/>
      </c>
      <c r="AH163" s="140"/>
      <c r="AI163" s="99" t="str">
        <f t="shared" si="30"/>
        <v/>
      </c>
      <c r="AJ163" s="140"/>
      <c r="AK163" s="28" t="str">
        <f t="shared" si="31"/>
        <v/>
      </c>
      <c r="AL163" s="111" t="str">
        <f t="shared" si="32"/>
        <v/>
      </c>
      <c r="AM163" s="111" t="str">
        <f t="shared" si="33"/>
        <v/>
      </c>
      <c r="AN163" s="178"/>
      <c r="AO163" s="178"/>
      <c r="AP163" s="178"/>
      <c r="AQ163" s="178"/>
      <c r="AR163" s="178"/>
      <c r="AS163" s="178"/>
      <c r="AT163" s="178"/>
      <c r="AU163" s="179" t="str">
        <f>IFERROR(VLOOKUP(AT163,'Seguridad Información'!$I$61:$J$65,2,0),"")</f>
        <v/>
      </c>
      <c r="AV163" s="83"/>
      <c r="AW163" s="82" t="str">
        <f t="shared" si="24"/>
        <v/>
      </c>
      <c r="AX163" s="81" t="str">
        <f t="shared" si="34"/>
        <v/>
      </c>
      <c r="AY163" s="22" t="str">
        <f>IFERROR(VLOOKUP((CONCATENATE(AM163,AX163)),Listados!$U$3:$V$11,2,FALSE),"")</f>
        <v/>
      </c>
      <c r="AZ163" s="111">
        <f t="shared" si="35"/>
        <v>100</v>
      </c>
      <c r="BA163" s="716">
        <f>AVERAGE(AZ163:AZ168)</f>
        <v>100</v>
      </c>
      <c r="BB163" s="718" t="str">
        <f>IF(BA163&lt;=50, "Débil", IF(BA163&lt;=99,"Moderado","Fuerte"))</f>
        <v>Fuerte</v>
      </c>
      <c r="BC163" s="142">
        <f>+IF(AND(W163="Preventivo",BB163="Fuerte"),2,IF(AND(W163="Preventivo",BB163="Moderado"),1,0))</f>
        <v>0</v>
      </c>
      <c r="BD163" s="68">
        <f>+IF(AND(W163="Detectivo/Correctivo",$BB163="Fuerte"),2,IF(AND(W163="Detectivo/Correctivo",$BB163="Moderado"),1,IF(AND(W163="Preventivo",$BB163="Fuerte"),1,0)))</f>
        <v>0</v>
      </c>
      <c r="BE163" s="142" t="e">
        <f>+N163-BC163</f>
        <v>#N/A</v>
      </c>
      <c r="BF163" s="142" t="e">
        <f>+P163-BD163</f>
        <v>#N/A</v>
      </c>
      <c r="BG163" s="712" t="e">
        <f>+VLOOKUP(MIN(BE163,BE164,BE165,BE166,BE167,BE168),Listados!$J$18:$K$24,2,TRUE)</f>
        <v>#N/A</v>
      </c>
      <c r="BH163" s="712" t="e">
        <f>+VLOOKUP(MIN(BF163,BF164,BF165,BF166,BF167,BF168),Listados!$J$27:$K$32,2,TRUE)</f>
        <v>#N/A</v>
      </c>
      <c r="BI163" s="712" t="e">
        <f>IF(AND(BG163&lt;&gt;"",BH163&lt;&gt;""),VLOOKUP(BG163&amp;BH163,Listados!$M$3:$N$27,2,FALSE),"")</f>
        <v>#N/A</v>
      </c>
      <c r="BJ163" s="802" t="e">
        <f>+IF($R163="Asumir el riesgo","NA","")</f>
        <v>#N/A</v>
      </c>
      <c r="BK163" s="802" t="e">
        <f>+IF($R163="Asumir el riesgo","NA","")</f>
        <v>#N/A</v>
      </c>
      <c r="BL163" s="802" t="e">
        <f>+IF($R163="Asumir el riesgo","NA","")</f>
        <v>#N/A</v>
      </c>
      <c r="BM163" s="802" t="e">
        <f>+IF($R163="Asumir el riesgo","NA","")</f>
        <v>#N/A</v>
      </c>
    </row>
    <row r="164" spans="1:65" ht="65.150000000000006" customHeight="1" thickBot="1">
      <c r="A164" s="724"/>
      <c r="B164" s="812"/>
      <c r="C164" s="730"/>
      <c r="D164" s="158"/>
      <c r="E164" s="158"/>
      <c r="F164" s="814"/>
      <c r="G164" s="736"/>
      <c r="H164" s="105"/>
      <c r="I164" s="161"/>
      <c r="J164" s="105"/>
      <c r="K164" s="160"/>
      <c r="L164" s="150"/>
      <c r="M164" s="727"/>
      <c r="N164" s="720"/>
      <c r="O164" s="810"/>
      <c r="P164" s="720"/>
      <c r="Q164" s="715"/>
      <c r="R164" s="713"/>
      <c r="S164" s="140"/>
      <c r="T164" s="180"/>
      <c r="U164" s="52" t="s">
        <v>467</v>
      </c>
      <c r="V164" s="145"/>
      <c r="W164" s="145"/>
      <c r="X164" s="145"/>
      <c r="Y164" s="99" t="str">
        <f t="shared" si="25"/>
        <v/>
      </c>
      <c r="Z164" s="145"/>
      <c r="AA164" s="99" t="str">
        <f t="shared" si="26"/>
        <v/>
      </c>
      <c r="AB164" s="140"/>
      <c r="AC164" s="99" t="str">
        <f t="shared" si="27"/>
        <v/>
      </c>
      <c r="AD164" s="140"/>
      <c r="AE164" s="99" t="str">
        <f t="shared" si="28"/>
        <v/>
      </c>
      <c r="AF164" s="140"/>
      <c r="AG164" s="99" t="str">
        <f t="shared" si="29"/>
        <v/>
      </c>
      <c r="AH164" s="140"/>
      <c r="AI164" s="99" t="str">
        <f t="shared" si="30"/>
        <v/>
      </c>
      <c r="AJ164" s="140"/>
      <c r="AK164" s="28" t="str">
        <f t="shared" si="31"/>
        <v/>
      </c>
      <c r="AL164" s="111" t="str">
        <f t="shared" si="32"/>
        <v/>
      </c>
      <c r="AM164" s="111" t="str">
        <f t="shared" si="33"/>
        <v/>
      </c>
      <c r="AN164" s="178"/>
      <c r="AO164" s="178"/>
      <c r="AP164" s="178"/>
      <c r="AQ164" s="178"/>
      <c r="AR164" s="178"/>
      <c r="AS164" s="178"/>
      <c r="AT164" s="178"/>
      <c r="AU164" s="179" t="str">
        <f>IFERROR(VLOOKUP(AT164,'Seguridad Información'!$I$61:$J$65,2,0),"")</f>
        <v/>
      </c>
      <c r="AV164" s="83"/>
      <c r="AW164" s="82" t="str">
        <f t="shared" si="24"/>
        <v/>
      </c>
      <c r="AX164" s="81" t="str">
        <f t="shared" si="34"/>
        <v/>
      </c>
      <c r="AY164" s="22" t="str">
        <f>IFERROR(VLOOKUP((CONCATENATE(AM164,AX164)),Listados!$U$3:$V$11,2,FALSE),"")</f>
        <v/>
      </c>
      <c r="AZ164" s="111">
        <f t="shared" si="35"/>
        <v>100</v>
      </c>
      <c r="BA164" s="717"/>
      <c r="BB164" s="761"/>
      <c r="BC164" s="142">
        <f>+IF(AND(W164="Preventivo",BB163="Fuerte"),2,IF(AND(W164="Preventivo",BB163="Moderado"),1,0))</f>
        <v>0</v>
      </c>
      <c r="BD164" s="68">
        <f>+IF(AND(W164="Detectivo/Correctivo",$BB163="Fuerte"),2,IF(AND(W164="Detectivo/Correctivo",$BB164="Moderado"),1,IF(AND(W164="Preventivo",$BB163="Fuerte"),1,0)))</f>
        <v>0</v>
      </c>
      <c r="BE164" s="142" t="e">
        <f>+N163-BC164</f>
        <v>#N/A</v>
      </c>
      <c r="BF164" s="142" t="e">
        <f>+P163-BD164</f>
        <v>#N/A</v>
      </c>
      <c r="BG164" s="713"/>
      <c r="BH164" s="713"/>
      <c r="BI164" s="713"/>
      <c r="BJ164" s="803"/>
      <c r="BK164" s="803"/>
      <c r="BL164" s="803"/>
      <c r="BM164" s="803"/>
    </row>
    <row r="165" spans="1:65" ht="65.150000000000006" customHeight="1" thickBot="1">
      <c r="A165" s="724"/>
      <c r="B165" s="812"/>
      <c r="C165" s="730"/>
      <c r="D165" s="158"/>
      <c r="E165" s="158"/>
      <c r="F165" s="814"/>
      <c r="G165" s="736"/>
      <c r="H165" s="105"/>
      <c r="I165" s="161"/>
      <c r="J165" s="105"/>
      <c r="K165" s="160"/>
      <c r="L165" s="150"/>
      <c r="M165" s="727"/>
      <c r="N165" s="720"/>
      <c r="O165" s="810"/>
      <c r="P165" s="720"/>
      <c r="Q165" s="715"/>
      <c r="R165" s="713"/>
      <c r="S165" s="140"/>
      <c r="T165" s="100"/>
      <c r="U165" s="52" t="s">
        <v>467</v>
      </c>
      <c r="V165" s="145"/>
      <c r="W165" s="145"/>
      <c r="X165" s="145"/>
      <c r="Y165" s="99" t="str">
        <f t="shared" si="25"/>
        <v/>
      </c>
      <c r="Z165" s="145"/>
      <c r="AA165" s="99" t="str">
        <f t="shared" si="26"/>
        <v/>
      </c>
      <c r="AB165" s="140"/>
      <c r="AC165" s="99" t="str">
        <f t="shared" si="27"/>
        <v/>
      </c>
      <c r="AD165" s="140"/>
      <c r="AE165" s="99" t="str">
        <f t="shared" si="28"/>
        <v/>
      </c>
      <c r="AF165" s="140"/>
      <c r="AG165" s="99" t="str">
        <f t="shared" si="29"/>
        <v/>
      </c>
      <c r="AH165" s="140"/>
      <c r="AI165" s="99" t="str">
        <f t="shared" si="30"/>
        <v/>
      </c>
      <c r="AJ165" s="140"/>
      <c r="AK165" s="28" t="str">
        <f t="shared" si="31"/>
        <v/>
      </c>
      <c r="AL165" s="111" t="str">
        <f t="shared" si="32"/>
        <v/>
      </c>
      <c r="AM165" s="111" t="str">
        <f t="shared" si="33"/>
        <v/>
      </c>
      <c r="AN165" s="178"/>
      <c r="AO165" s="178"/>
      <c r="AP165" s="178"/>
      <c r="AQ165" s="178"/>
      <c r="AR165" s="178"/>
      <c r="AS165" s="178"/>
      <c r="AT165" s="178"/>
      <c r="AU165" s="179" t="str">
        <f>IFERROR(VLOOKUP(AT165,'Seguridad Información'!$I$61:$J$65,2,0),"")</f>
        <v/>
      </c>
      <c r="AV165" s="83"/>
      <c r="AW165" s="82" t="str">
        <f t="shared" si="24"/>
        <v/>
      </c>
      <c r="AX165" s="81" t="str">
        <f t="shared" si="34"/>
        <v/>
      </c>
      <c r="AY165" s="22" t="str">
        <f>IFERROR(VLOOKUP((CONCATENATE(AM165,AX165)),Listados!$U$3:$V$11,2,FALSE),"")</f>
        <v/>
      </c>
      <c r="AZ165" s="111">
        <f t="shared" si="35"/>
        <v>100</v>
      </c>
      <c r="BA165" s="717"/>
      <c r="BB165" s="761"/>
      <c r="BC165" s="142">
        <f>+IF(AND(W165="Preventivo",BB163="Fuerte"),2,IF(AND(W165="Preventivo",BB163="Moderado"),1,0))</f>
        <v>0</v>
      </c>
      <c r="BD165" s="68">
        <f>+IF(AND(W165="Detectivo/Correctivo",$BB163="Fuerte"),2,IF(AND(W165="Detectivo/Correctivo",$BB165="Moderado"),1,IF(AND(W165="Preventivo",$BB163="Fuerte"),1,0)))</f>
        <v>0</v>
      </c>
      <c r="BE165" s="142" t="e">
        <f>+N163-BC165</f>
        <v>#N/A</v>
      </c>
      <c r="BF165" s="142" t="e">
        <f>+P163-BD165</f>
        <v>#N/A</v>
      </c>
      <c r="BG165" s="713"/>
      <c r="BH165" s="713"/>
      <c r="BI165" s="713"/>
      <c r="BJ165" s="803"/>
      <c r="BK165" s="803"/>
      <c r="BL165" s="803"/>
      <c r="BM165" s="803"/>
    </row>
    <row r="166" spans="1:65" ht="65.150000000000006" customHeight="1" thickBot="1">
      <c r="A166" s="724"/>
      <c r="B166" s="812"/>
      <c r="C166" s="730"/>
      <c r="D166" s="158"/>
      <c r="E166" s="158"/>
      <c r="F166" s="814"/>
      <c r="G166" s="736"/>
      <c r="H166" s="105"/>
      <c r="I166" s="161"/>
      <c r="J166" s="105"/>
      <c r="K166" s="160"/>
      <c r="L166" s="150"/>
      <c r="M166" s="727"/>
      <c r="N166" s="720"/>
      <c r="O166" s="810"/>
      <c r="P166" s="720"/>
      <c r="Q166" s="715"/>
      <c r="R166" s="713"/>
      <c r="S166" s="140"/>
      <c r="T166" s="101"/>
      <c r="U166" s="52" t="s">
        <v>467</v>
      </c>
      <c r="V166" s="145"/>
      <c r="W166" s="145"/>
      <c r="X166" s="145"/>
      <c r="Y166" s="99" t="str">
        <f t="shared" si="25"/>
        <v/>
      </c>
      <c r="Z166" s="145"/>
      <c r="AA166" s="99" t="str">
        <f t="shared" si="26"/>
        <v/>
      </c>
      <c r="AB166" s="140"/>
      <c r="AC166" s="99" t="str">
        <f t="shared" si="27"/>
        <v/>
      </c>
      <c r="AD166" s="140"/>
      <c r="AE166" s="99" t="str">
        <f t="shared" si="28"/>
        <v/>
      </c>
      <c r="AF166" s="140"/>
      <c r="AG166" s="99" t="str">
        <f t="shared" si="29"/>
        <v/>
      </c>
      <c r="AH166" s="140"/>
      <c r="AI166" s="99" t="str">
        <f t="shared" si="30"/>
        <v/>
      </c>
      <c r="AJ166" s="140"/>
      <c r="AK166" s="28" t="str">
        <f t="shared" si="31"/>
        <v/>
      </c>
      <c r="AL166" s="111" t="str">
        <f t="shared" si="32"/>
        <v/>
      </c>
      <c r="AM166" s="111" t="str">
        <f t="shared" si="33"/>
        <v/>
      </c>
      <c r="AN166" s="178"/>
      <c r="AO166" s="178"/>
      <c r="AP166" s="178"/>
      <c r="AQ166" s="178"/>
      <c r="AR166" s="178"/>
      <c r="AS166" s="178"/>
      <c r="AT166" s="178"/>
      <c r="AU166" s="179" t="str">
        <f>IFERROR(VLOOKUP(AT166,'Seguridad Información'!$I$61:$J$65,2,0),"")</f>
        <v/>
      </c>
      <c r="AV166" s="83"/>
      <c r="AW166" s="82" t="str">
        <f t="shared" si="24"/>
        <v/>
      </c>
      <c r="AX166" s="81" t="str">
        <f t="shared" si="34"/>
        <v/>
      </c>
      <c r="AY166" s="22" t="str">
        <f>IFERROR(VLOOKUP((CONCATENATE(AM166,AX166)),Listados!$U$3:$V$11,2,FALSE),"")</f>
        <v/>
      </c>
      <c r="AZ166" s="111">
        <f t="shared" si="35"/>
        <v>100</v>
      </c>
      <c r="BA166" s="717"/>
      <c r="BB166" s="761"/>
      <c r="BC166" s="142">
        <f>+IF(AND(W166="Preventivo",BB163="Fuerte"),2,IF(AND(W166="Preventivo",BB163="Moderado"),1,0))</f>
        <v>0</v>
      </c>
      <c r="BD166" s="68">
        <f>+IF(AND(W166="Detectivo/Correctivo",$BB163="Fuerte"),2,IF(AND(W166="Detectivo/Correctivo",$BB166="Moderado"),1,IF(AND(W166="Preventivo",$BB163="Fuerte"),1,0)))</f>
        <v>0</v>
      </c>
      <c r="BE166" s="142" t="e">
        <f>+N163-BC166</f>
        <v>#N/A</v>
      </c>
      <c r="BF166" s="142" t="e">
        <f>+P163-BD166</f>
        <v>#N/A</v>
      </c>
      <c r="BG166" s="713"/>
      <c r="BH166" s="713"/>
      <c r="BI166" s="713"/>
      <c r="BJ166" s="803"/>
      <c r="BK166" s="803"/>
      <c r="BL166" s="803"/>
      <c r="BM166" s="803"/>
    </row>
    <row r="167" spans="1:65" ht="65.150000000000006" customHeight="1" thickBot="1">
      <c r="A167" s="724"/>
      <c r="B167" s="812"/>
      <c r="C167" s="730"/>
      <c r="D167" s="116"/>
      <c r="E167" s="116"/>
      <c r="F167" s="814"/>
      <c r="G167" s="736"/>
      <c r="H167" s="105"/>
      <c r="I167" s="161"/>
      <c r="J167" s="105"/>
      <c r="K167" s="29"/>
      <c r="L167" s="150"/>
      <c r="M167" s="727"/>
      <c r="N167" s="720"/>
      <c r="O167" s="810"/>
      <c r="P167" s="720"/>
      <c r="Q167" s="715"/>
      <c r="R167" s="713"/>
      <c r="S167" s="140"/>
      <c r="T167" s="180"/>
      <c r="U167" s="52" t="s">
        <v>467</v>
      </c>
      <c r="V167" s="145"/>
      <c r="W167" s="145"/>
      <c r="X167" s="145"/>
      <c r="Y167" s="99" t="str">
        <f t="shared" si="25"/>
        <v/>
      </c>
      <c r="Z167" s="145"/>
      <c r="AA167" s="99" t="str">
        <f t="shared" si="26"/>
        <v/>
      </c>
      <c r="AB167" s="140"/>
      <c r="AC167" s="99" t="str">
        <f t="shared" si="27"/>
        <v/>
      </c>
      <c r="AD167" s="140"/>
      <c r="AE167" s="99" t="str">
        <f t="shared" si="28"/>
        <v/>
      </c>
      <c r="AF167" s="140"/>
      <c r="AG167" s="99" t="str">
        <f t="shared" si="29"/>
        <v/>
      </c>
      <c r="AH167" s="140"/>
      <c r="AI167" s="99" t="str">
        <f t="shared" si="30"/>
        <v/>
      </c>
      <c r="AJ167" s="140"/>
      <c r="AK167" s="28" t="str">
        <f t="shared" si="31"/>
        <v/>
      </c>
      <c r="AL167" s="111" t="str">
        <f t="shared" si="32"/>
        <v/>
      </c>
      <c r="AM167" s="111" t="str">
        <f t="shared" si="33"/>
        <v/>
      </c>
      <c r="AN167" s="178"/>
      <c r="AO167" s="178"/>
      <c r="AP167" s="178"/>
      <c r="AQ167" s="178"/>
      <c r="AR167" s="178"/>
      <c r="AS167" s="178"/>
      <c r="AT167" s="178"/>
      <c r="AU167" s="179" t="str">
        <f>IFERROR(VLOOKUP(AT167,'Seguridad Información'!$I$61:$J$65,2,0),"")</f>
        <v/>
      </c>
      <c r="AV167" s="83"/>
      <c r="AW167" s="82" t="str">
        <f t="shared" si="24"/>
        <v/>
      </c>
      <c r="AX167" s="81" t="str">
        <f t="shared" si="34"/>
        <v/>
      </c>
      <c r="AY167" s="22" t="str">
        <f>IFERROR(VLOOKUP((CONCATENATE(AM167,AX167)),Listados!$U$3:$V$11,2,FALSE),"")</f>
        <v/>
      </c>
      <c r="AZ167" s="111">
        <f t="shared" si="35"/>
        <v>100</v>
      </c>
      <c r="BA167" s="717"/>
      <c r="BB167" s="761"/>
      <c r="BC167" s="142">
        <f>+IF(AND(W167="Preventivo",BB163="Fuerte"),2,IF(AND(W167="Preventivo",BB163="Moderado"),1,0))</f>
        <v>0</v>
      </c>
      <c r="BD167" s="68">
        <f>+IF(AND(W167="Detectivo/Correctivo",$BB163="Fuerte"),2,IF(AND(W167="Detectivo/Correctivo",$BB167="Moderado"),1,IF(AND(W167="Preventivo",$BB163="Fuerte"),1,0)))</f>
        <v>0</v>
      </c>
      <c r="BE167" s="142" t="e">
        <f>+N163-BC167</f>
        <v>#N/A</v>
      </c>
      <c r="BF167" s="142" t="e">
        <f>+P163-BD167</f>
        <v>#N/A</v>
      </c>
      <c r="BG167" s="713"/>
      <c r="BH167" s="713"/>
      <c r="BI167" s="713"/>
      <c r="BJ167" s="803"/>
      <c r="BK167" s="803"/>
      <c r="BL167" s="803"/>
      <c r="BM167" s="803"/>
    </row>
    <row r="168" spans="1:65" ht="65.150000000000006" customHeight="1" thickBot="1">
      <c r="A168" s="725"/>
      <c r="B168" s="812"/>
      <c r="C168" s="731"/>
      <c r="D168" s="113"/>
      <c r="E168" s="113"/>
      <c r="F168" s="815"/>
      <c r="G168" s="781"/>
      <c r="H168" s="105"/>
      <c r="I168" s="161"/>
      <c r="J168" s="105"/>
      <c r="K168" s="30"/>
      <c r="L168" s="150"/>
      <c r="M168" s="727"/>
      <c r="N168" s="721"/>
      <c r="O168" s="810"/>
      <c r="P168" s="721"/>
      <c r="Q168" s="715"/>
      <c r="R168" s="714"/>
      <c r="S168" s="140"/>
      <c r="T168" s="102"/>
      <c r="U168" s="52" t="s">
        <v>467</v>
      </c>
      <c r="V168" s="145"/>
      <c r="W168" s="145"/>
      <c r="X168" s="145"/>
      <c r="Y168" s="99" t="str">
        <f t="shared" si="25"/>
        <v/>
      </c>
      <c r="Z168" s="145"/>
      <c r="AA168" s="99" t="str">
        <f t="shared" si="26"/>
        <v/>
      </c>
      <c r="AB168" s="140"/>
      <c r="AC168" s="99" t="str">
        <f t="shared" si="27"/>
        <v/>
      </c>
      <c r="AD168" s="140"/>
      <c r="AE168" s="99" t="str">
        <f t="shared" si="28"/>
        <v/>
      </c>
      <c r="AF168" s="140"/>
      <c r="AG168" s="99" t="str">
        <f t="shared" si="29"/>
        <v/>
      </c>
      <c r="AH168" s="140"/>
      <c r="AI168" s="99" t="str">
        <f t="shared" si="30"/>
        <v/>
      </c>
      <c r="AJ168" s="140"/>
      <c r="AK168" s="28" t="str">
        <f t="shared" si="31"/>
        <v/>
      </c>
      <c r="AL168" s="111" t="str">
        <f t="shared" si="32"/>
        <v/>
      </c>
      <c r="AM168" s="111" t="str">
        <f t="shared" si="33"/>
        <v/>
      </c>
      <c r="AN168" s="178"/>
      <c r="AO168" s="178"/>
      <c r="AP168" s="178"/>
      <c r="AQ168" s="178"/>
      <c r="AR168" s="178"/>
      <c r="AS168" s="178"/>
      <c r="AT168" s="178"/>
      <c r="AU168" s="179" t="str">
        <f>IFERROR(VLOOKUP(AT168,'Seguridad Información'!$I$61:$J$65,2,0),"")</f>
        <v/>
      </c>
      <c r="AV168" s="83"/>
      <c r="AW168" s="82" t="str">
        <f t="shared" si="24"/>
        <v/>
      </c>
      <c r="AX168" s="81" t="str">
        <f t="shared" si="34"/>
        <v/>
      </c>
      <c r="AY168" s="22" t="str">
        <f>IFERROR(VLOOKUP((CONCATENATE(AM168,AX168)),Listados!$U$3:$V$11,2,FALSE),"")</f>
        <v/>
      </c>
      <c r="AZ168" s="111">
        <f t="shared" si="35"/>
        <v>100</v>
      </c>
      <c r="BA168" s="718"/>
      <c r="BB168" s="761"/>
      <c r="BC168" s="142">
        <f>+IF(AND(W168="Preventivo",BB163="Fuerte"),2,IF(AND(W168="Preventivo",BB163="Moderado"),1,0))</f>
        <v>0</v>
      </c>
      <c r="BD168" s="68">
        <f>+IF(AND(W168="Detectivo/Correctivo",$BB163="Fuerte"),2,IF(AND(W168="Detectivo/Correctivo",$BB168="Moderado"),1,IF(AND(W168="Preventivo",$BB163="Fuerte"),1,0)))</f>
        <v>0</v>
      </c>
      <c r="BE168" s="142" t="e">
        <f>+N163-BC168</f>
        <v>#N/A</v>
      </c>
      <c r="BF168" s="142" t="e">
        <f>+P163-BD168</f>
        <v>#N/A</v>
      </c>
      <c r="BG168" s="714"/>
      <c r="BH168" s="714"/>
      <c r="BI168" s="714"/>
      <c r="BJ168" s="804"/>
      <c r="BK168" s="804"/>
      <c r="BL168" s="804"/>
      <c r="BM168" s="804"/>
    </row>
    <row r="169" spans="1:65" ht="65.150000000000006" customHeight="1" thickBot="1">
      <c r="A169" s="723">
        <v>28</v>
      </c>
      <c r="B169" s="811"/>
      <c r="C169" s="729" t="str">
        <f>IFERROR(VLOOKUP(B169,Listados!B$3:C$20,2,FALSE),"")</f>
        <v/>
      </c>
      <c r="D169" s="114"/>
      <c r="E169" s="114"/>
      <c r="F169" s="813"/>
      <c r="G169" s="735"/>
      <c r="H169" s="105"/>
      <c r="I169" s="161"/>
      <c r="J169" s="105"/>
      <c r="K169" s="109"/>
      <c r="L169" s="18"/>
      <c r="M169" s="762"/>
      <c r="N169" s="719" t="e">
        <f>+VLOOKUP(M169,Listados!$K$8:$L$12,2,0)</f>
        <v>#N/A</v>
      </c>
      <c r="O169" s="809"/>
      <c r="P169" s="719" t="e">
        <f>+VLOOKUP(O169,Listados!$K$13:$L$17,2,0)</f>
        <v>#N/A</v>
      </c>
      <c r="Q169" s="714" t="str">
        <f>IF(AND(M169&lt;&gt;"",O169&lt;&gt;""),VLOOKUP(M169&amp;O169,Listados!$M$3:$N$27,2,FALSE),"")</f>
        <v/>
      </c>
      <c r="R169" s="712" t="e">
        <f>+VLOOKUP(Q169,Listados!$P$3:$Q$6,2,FALSE)</f>
        <v>#N/A</v>
      </c>
      <c r="S169" s="140"/>
      <c r="T169" s="98"/>
      <c r="U169" s="52" t="s">
        <v>467</v>
      </c>
      <c r="V169" s="145"/>
      <c r="W169" s="145"/>
      <c r="X169" s="145"/>
      <c r="Y169" s="99" t="str">
        <f t="shared" si="25"/>
        <v/>
      </c>
      <c r="Z169" s="145"/>
      <c r="AA169" s="99" t="str">
        <f t="shared" si="26"/>
        <v/>
      </c>
      <c r="AB169" s="140"/>
      <c r="AC169" s="99" t="str">
        <f t="shared" si="27"/>
        <v/>
      </c>
      <c r="AD169" s="140"/>
      <c r="AE169" s="99" t="str">
        <f t="shared" si="28"/>
        <v/>
      </c>
      <c r="AF169" s="140"/>
      <c r="AG169" s="99" t="str">
        <f t="shared" si="29"/>
        <v/>
      </c>
      <c r="AH169" s="140"/>
      <c r="AI169" s="99" t="str">
        <f t="shared" si="30"/>
        <v/>
      </c>
      <c r="AJ169" s="140"/>
      <c r="AK169" s="28" t="str">
        <f t="shared" si="31"/>
        <v/>
      </c>
      <c r="AL169" s="111" t="str">
        <f t="shared" si="32"/>
        <v/>
      </c>
      <c r="AM169" s="111" t="str">
        <f t="shared" si="33"/>
        <v/>
      </c>
      <c r="AN169" s="178"/>
      <c r="AO169" s="178"/>
      <c r="AP169" s="178"/>
      <c r="AQ169" s="178"/>
      <c r="AR169" s="178"/>
      <c r="AS169" s="178"/>
      <c r="AT169" s="178"/>
      <c r="AU169" s="179" t="str">
        <f>IFERROR(VLOOKUP(AT169,'Seguridad Información'!$I$61:$J$65,2,0),"")</f>
        <v/>
      </c>
      <c r="AV169" s="83"/>
      <c r="AW169" s="82" t="str">
        <f t="shared" si="24"/>
        <v/>
      </c>
      <c r="AX169" s="81" t="str">
        <f t="shared" si="34"/>
        <v/>
      </c>
      <c r="AY169" s="22" t="str">
        <f>IFERROR(VLOOKUP((CONCATENATE(AM169,AX169)),Listados!$U$3:$V$11,2,FALSE),"")</f>
        <v/>
      </c>
      <c r="AZ169" s="111">
        <f t="shared" si="35"/>
        <v>100</v>
      </c>
      <c r="BA169" s="716">
        <f>AVERAGE(AZ169:AZ174)</f>
        <v>100</v>
      </c>
      <c r="BB169" s="718" t="str">
        <f>IF(BA169&lt;=50, "Débil", IF(BA169&lt;=99,"Moderado","Fuerte"))</f>
        <v>Fuerte</v>
      </c>
      <c r="BC169" s="142">
        <f>+IF(AND(W169="Preventivo",BB169="Fuerte"),2,IF(AND(W169="Preventivo",BB169="Moderado"),1,0))</f>
        <v>0</v>
      </c>
      <c r="BD169" s="68">
        <f>+IF(AND(W169="Detectivo/Correctivo",$BB169="Fuerte"),2,IF(AND(W169="Detectivo/Correctivo",$BB169="Moderado"),1,IF(AND(W169="Preventivo",$BB169="Fuerte"),1,0)))</f>
        <v>0</v>
      </c>
      <c r="BE169" s="142" t="e">
        <f>+N169-BC169</f>
        <v>#N/A</v>
      </c>
      <c r="BF169" s="142" t="e">
        <f>+P169-BD169</f>
        <v>#N/A</v>
      </c>
      <c r="BG169" s="712" t="e">
        <f>+VLOOKUP(MIN(BE169,BE170,BE171,BE172,BE173,BE174),Listados!$J$18:$K$24,2,TRUE)</f>
        <v>#N/A</v>
      </c>
      <c r="BH169" s="712" t="e">
        <f>+VLOOKUP(MIN(BF169,BF170,BF171,BF172,BF173,BF174),Listados!$J$27:$K$32,2,TRUE)</f>
        <v>#N/A</v>
      </c>
      <c r="BI169" s="712" t="e">
        <f>IF(AND(BG169&lt;&gt;"",BH169&lt;&gt;""),VLOOKUP(BG169&amp;BH169,Listados!$M$3:$N$27,2,FALSE),"")</f>
        <v>#N/A</v>
      </c>
      <c r="BJ169" s="802" t="e">
        <f>+IF($R169="Asumir el riesgo","NA","")</f>
        <v>#N/A</v>
      </c>
      <c r="BK169" s="802" t="e">
        <f>+IF($R169="Asumir el riesgo","NA","")</f>
        <v>#N/A</v>
      </c>
      <c r="BL169" s="802" t="e">
        <f>+IF($R169="Asumir el riesgo","NA","")</f>
        <v>#N/A</v>
      </c>
      <c r="BM169" s="802" t="e">
        <f>+IF($R169="Asumir el riesgo","NA","")</f>
        <v>#N/A</v>
      </c>
    </row>
    <row r="170" spans="1:65" ht="65.150000000000006" customHeight="1" thickBot="1">
      <c r="A170" s="724"/>
      <c r="B170" s="812"/>
      <c r="C170" s="730"/>
      <c r="D170" s="158"/>
      <c r="E170" s="158"/>
      <c r="F170" s="814"/>
      <c r="G170" s="736"/>
      <c r="H170" s="105"/>
      <c r="I170" s="161"/>
      <c r="J170" s="105"/>
      <c r="K170" s="160"/>
      <c r="L170" s="150"/>
      <c r="M170" s="727"/>
      <c r="N170" s="720"/>
      <c r="O170" s="810"/>
      <c r="P170" s="720"/>
      <c r="Q170" s="715"/>
      <c r="R170" s="713"/>
      <c r="S170" s="140"/>
      <c r="T170" s="180"/>
      <c r="U170" s="52" t="s">
        <v>467</v>
      </c>
      <c r="V170" s="145"/>
      <c r="W170" s="145"/>
      <c r="X170" s="145"/>
      <c r="Y170" s="99" t="str">
        <f t="shared" si="25"/>
        <v/>
      </c>
      <c r="Z170" s="145"/>
      <c r="AA170" s="99" t="str">
        <f t="shared" si="26"/>
        <v/>
      </c>
      <c r="AB170" s="140"/>
      <c r="AC170" s="99" t="str">
        <f t="shared" si="27"/>
        <v/>
      </c>
      <c r="AD170" s="140"/>
      <c r="AE170" s="99" t="str">
        <f t="shared" si="28"/>
        <v/>
      </c>
      <c r="AF170" s="140"/>
      <c r="AG170" s="99" t="str">
        <f t="shared" si="29"/>
        <v/>
      </c>
      <c r="AH170" s="140"/>
      <c r="AI170" s="99" t="str">
        <f t="shared" si="30"/>
        <v/>
      </c>
      <c r="AJ170" s="140"/>
      <c r="AK170" s="28" t="str">
        <f t="shared" si="31"/>
        <v/>
      </c>
      <c r="AL170" s="111" t="str">
        <f t="shared" si="32"/>
        <v/>
      </c>
      <c r="AM170" s="111" t="str">
        <f t="shared" si="33"/>
        <v/>
      </c>
      <c r="AN170" s="178"/>
      <c r="AO170" s="178"/>
      <c r="AP170" s="178"/>
      <c r="AQ170" s="178"/>
      <c r="AR170" s="178"/>
      <c r="AS170" s="178"/>
      <c r="AT170" s="178"/>
      <c r="AU170" s="179" t="str">
        <f>IFERROR(VLOOKUP(AT170,'Seguridad Información'!$I$61:$J$65,2,0),"")</f>
        <v/>
      </c>
      <c r="AV170" s="83"/>
      <c r="AW170" s="82" t="str">
        <f t="shared" si="24"/>
        <v/>
      </c>
      <c r="AX170" s="81" t="str">
        <f t="shared" si="34"/>
        <v/>
      </c>
      <c r="AY170" s="22" t="str">
        <f>IFERROR(VLOOKUP((CONCATENATE(AM170,AX170)),Listados!$U$3:$V$11,2,FALSE),"")</f>
        <v/>
      </c>
      <c r="AZ170" s="111">
        <f t="shared" si="35"/>
        <v>100</v>
      </c>
      <c r="BA170" s="717"/>
      <c r="BB170" s="761"/>
      <c r="BC170" s="142">
        <f>+IF(AND(W170="Preventivo",BB169="Fuerte"),2,IF(AND(W170="Preventivo",BB169="Moderado"),1,0))</f>
        <v>0</v>
      </c>
      <c r="BD170" s="68">
        <f>+IF(AND(W170="Detectivo/Correctivo",$BB169="Fuerte"),2,IF(AND(W170="Detectivo/Correctivo",$BB170="Moderado"),1,IF(AND(W170="Preventivo",$BB169="Fuerte"),1,0)))</f>
        <v>0</v>
      </c>
      <c r="BE170" s="142" t="e">
        <f>+N169-BC170</f>
        <v>#N/A</v>
      </c>
      <c r="BF170" s="142" t="e">
        <f>+P169-BD170</f>
        <v>#N/A</v>
      </c>
      <c r="BG170" s="713"/>
      <c r="BH170" s="713"/>
      <c r="BI170" s="713"/>
      <c r="BJ170" s="803"/>
      <c r="BK170" s="803"/>
      <c r="BL170" s="803"/>
      <c r="BM170" s="803"/>
    </row>
    <row r="171" spans="1:65" ht="65.150000000000006" customHeight="1" thickBot="1">
      <c r="A171" s="724"/>
      <c r="B171" s="812"/>
      <c r="C171" s="730"/>
      <c r="D171" s="158"/>
      <c r="E171" s="158"/>
      <c r="F171" s="814"/>
      <c r="G171" s="736"/>
      <c r="H171" s="105"/>
      <c r="I171" s="161"/>
      <c r="J171" s="105"/>
      <c r="K171" s="160"/>
      <c r="L171" s="150"/>
      <c r="M171" s="727"/>
      <c r="N171" s="720"/>
      <c r="O171" s="810"/>
      <c r="P171" s="720"/>
      <c r="Q171" s="715"/>
      <c r="R171" s="713"/>
      <c r="S171" s="140"/>
      <c r="T171" s="100"/>
      <c r="U171" s="52" t="s">
        <v>467</v>
      </c>
      <c r="V171" s="145"/>
      <c r="W171" s="145"/>
      <c r="X171" s="145"/>
      <c r="Y171" s="99" t="str">
        <f t="shared" si="25"/>
        <v/>
      </c>
      <c r="Z171" s="145"/>
      <c r="AA171" s="99" t="str">
        <f t="shared" si="26"/>
        <v/>
      </c>
      <c r="AB171" s="140"/>
      <c r="AC171" s="99" t="str">
        <f t="shared" si="27"/>
        <v/>
      </c>
      <c r="AD171" s="140"/>
      <c r="AE171" s="99" t="str">
        <f t="shared" si="28"/>
        <v/>
      </c>
      <c r="AF171" s="140"/>
      <c r="AG171" s="99" t="str">
        <f t="shared" si="29"/>
        <v/>
      </c>
      <c r="AH171" s="140"/>
      <c r="AI171" s="99" t="str">
        <f t="shared" si="30"/>
        <v/>
      </c>
      <c r="AJ171" s="140"/>
      <c r="AK171" s="28" t="str">
        <f t="shared" si="31"/>
        <v/>
      </c>
      <c r="AL171" s="111" t="str">
        <f t="shared" si="32"/>
        <v/>
      </c>
      <c r="AM171" s="111" t="str">
        <f t="shared" si="33"/>
        <v/>
      </c>
      <c r="AN171" s="178"/>
      <c r="AO171" s="178"/>
      <c r="AP171" s="178"/>
      <c r="AQ171" s="178"/>
      <c r="AR171" s="178"/>
      <c r="AS171" s="178"/>
      <c r="AT171" s="178"/>
      <c r="AU171" s="179" t="str">
        <f>IFERROR(VLOOKUP(AT171,'Seguridad Información'!$I$61:$J$65,2,0),"")</f>
        <v/>
      </c>
      <c r="AV171" s="83"/>
      <c r="AW171" s="82" t="str">
        <f t="shared" si="24"/>
        <v/>
      </c>
      <c r="AX171" s="81" t="str">
        <f t="shared" si="34"/>
        <v/>
      </c>
      <c r="AY171" s="22" t="str">
        <f>IFERROR(VLOOKUP((CONCATENATE(AM171,AX171)),Listados!$U$3:$V$11,2,FALSE),"")</f>
        <v/>
      </c>
      <c r="AZ171" s="111">
        <f t="shared" si="35"/>
        <v>100</v>
      </c>
      <c r="BA171" s="717"/>
      <c r="BB171" s="761"/>
      <c r="BC171" s="142">
        <f>+IF(AND(W171="Preventivo",BB169="Fuerte"),2,IF(AND(W171="Preventivo",BB169="Moderado"),1,0))</f>
        <v>0</v>
      </c>
      <c r="BD171" s="68">
        <f>+IF(AND(W171="Detectivo/Correctivo",$BB169="Fuerte"),2,IF(AND(W171="Detectivo/Correctivo",$BB171="Moderado"),1,IF(AND(W171="Preventivo",$BB169="Fuerte"),1,0)))</f>
        <v>0</v>
      </c>
      <c r="BE171" s="142" t="e">
        <f>+N169-BC171</f>
        <v>#N/A</v>
      </c>
      <c r="BF171" s="142" t="e">
        <f>+P169-BD171</f>
        <v>#N/A</v>
      </c>
      <c r="BG171" s="713"/>
      <c r="BH171" s="713"/>
      <c r="BI171" s="713"/>
      <c r="BJ171" s="803"/>
      <c r="BK171" s="803"/>
      <c r="BL171" s="803"/>
      <c r="BM171" s="803"/>
    </row>
    <row r="172" spans="1:65" ht="65.150000000000006" customHeight="1" thickBot="1">
      <c r="A172" s="724"/>
      <c r="B172" s="812"/>
      <c r="C172" s="730"/>
      <c r="D172" s="158"/>
      <c r="E172" s="158"/>
      <c r="F172" s="814"/>
      <c r="G172" s="736"/>
      <c r="H172" s="105"/>
      <c r="I172" s="161"/>
      <c r="J172" s="105"/>
      <c r="K172" s="160"/>
      <c r="L172" s="150"/>
      <c r="M172" s="727"/>
      <c r="N172" s="720"/>
      <c r="O172" s="810"/>
      <c r="P172" s="720"/>
      <c r="Q172" s="715"/>
      <c r="R172" s="713"/>
      <c r="S172" s="140"/>
      <c r="T172" s="101"/>
      <c r="U172" s="52" t="s">
        <v>467</v>
      </c>
      <c r="V172" s="145"/>
      <c r="W172" s="145"/>
      <c r="X172" s="145"/>
      <c r="Y172" s="99" t="str">
        <f t="shared" si="25"/>
        <v/>
      </c>
      <c r="Z172" s="145"/>
      <c r="AA172" s="99" t="str">
        <f t="shared" si="26"/>
        <v/>
      </c>
      <c r="AB172" s="140"/>
      <c r="AC172" s="99" t="str">
        <f t="shared" si="27"/>
        <v/>
      </c>
      <c r="AD172" s="140"/>
      <c r="AE172" s="99" t="str">
        <f t="shared" si="28"/>
        <v/>
      </c>
      <c r="AF172" s="140"/>
      <c r="AG172" s="99" t="str">
        <f t="shared" si="29"/>
        <v/>
      </c>
      <c r="AH172" s="140"/>
      <c r="AI172" s="99" t="str">
        <f t="shared" si="30"/>
        <v/>
      </c>
      <c r="AJ172" s="140"/>
      <c r="AK172" s="28" t="str">
        <f t="shared" si="31"/>
        <v/>
      </c>
      <c r="AL172" s="111" t="str">
        <f t="shared" si="32"/>
        <v/>
      </c>
      <c r="AM172" s="111" t="str">
        <f t="shared" si="33"/>
        <v/>
      </c>
      <c r="AN172" s="178"/>
      <c r="AO172" s="178"/>
      <c r="AP172" s="178"/>
      <c r="AQ172" s="178"/>
      <c r="AR172" s="178"/>
      <c r="AS172" s="178"/>
      <c r="AT172" s="178"/>
      <c r="AU172" s="179" t="str">
        <f>IFERROR(VLOOKUP(AT172,'Seguridad Información'!$I$61:$J$65,2,0),"")</f>
        <v/>
      </c>
      <c r="AV172" s="83"/>
      <c r="AW172" s="82" t="str">
        <f t="shared" si="24"/>
        <v/>
      </c>
      <c r="AX172" s="81" t="str">
        <f t="shared" si="34"/>
        <v/>
      </c>
      <c r="AY172" s="22" t="str">
        <f>IFERROR(VLOOKUP((CONCATENATE(AM172,AX172)),Listados!$U$3:$V$11,2,FALSE),"")</f>
        <v/>
      </c>
      <c r="AZ172" s="111">
        <f t="shared" si="35"/>
        <v>100</v>
      </c>
      <c r="BA172" s="717"/>
      <c r="BB172" s="761"/>
      <c r="BC172" s="142">
        <f>+IF(AND(W172="Preventivo",BB169="Fuerte"),2,IF(AND(W172="Preventivo",BB169="Moderado"),1,0))</f>
        <v>0</v>
      </c>
      <c r="BD172" s="68">
        <f>+IF(AND(W172="Detectivo/Correctivo",$BB169="Fuerte"),2,IF(AND(W172="Detectivo/Correctivo",$BB172="Moderado"),1,IF(AND(W172="Preventivo",$BB169="Fuerte"),1,0)))</f>
        <v>0</v>
      </c>
      <c r="BE172" s="142" t="e">
        <f>+N169-BC172</f>
        <v>#N/A</v>
      </c>
      <c r="BF172" s="142" t="e">
        <f>+P169-BD172</f>
        <v>#N/A</v>
      </c>
      <c r="BG172" s="713"/>
      <c r="BH172" s="713"/>
      <c r="BI172" s="713"/>
      <c r="BJ172" s="803"/>
      <c r="BK172" s="803"/>
      <c r="BL172" s="803"/>
      <c r="BM172" s="803"/>
    </row>
    <row r="173" spans="1:65" ht="65.150000000000006" customHeight="1" thickBot="1">
      <c r="A173" s="724"/>
      <c r="B173" s="812"/>
      <c r="C173" s="730"/>
      <c r="D173" s="116"/>
      <c r="E173" s="116"/>
      <c r="F173" s="814"/>
      <c r="G173" s="736"/>
      <c r="H173" s="105"/>
      <c r="I173" s="161"/>
      <c r="J173" s="105"/>
      <c r="K173" s="29"/>
      <c r="L173" s="150"/>
      <c r="M173" s="727"/>
      <c r="N173" s="720"/>
      <c r="O173" s="810"/>
      <c r="P173" s="720"/>
      <c r="Q173" s="715"/>
      <c r="R173" s="713"/>
      <c r="S173" s="140"/>
      <c r="T173" s="180"/>
      <c r="U173" s="52" t="s">
        <v>467</v>
      </c>
      <c r="V173" s="145"/>
      <c r="W173" s="145"/>
      <c r="X173" s="145"/>
      <c r="Y173" s="99" t="str">
        <f t="shared" si="25"/>
        <v/>
      </c>
      <c r="Z173" s="145"/>
      <c r="AA173" s="99" t="str">
        <f t="shared" si="26"/>
        <v/>
      </c>
      <c r="AB173" s="140"/>
      <c r="AC173" s="99" t="str">
        <f t="shared" si="27"/>
        <v/>
      </c>
      <c r="AD173" s="140"/>
      <c r="AE173" s="99" t="str">
        <f t="shared" si="28"/>
        <v/>
      </c>
      <c r="AF173" s="140"/>
      <c r="AG173" s="99" t="str">
        <f t="shared" si="29"/>
        <v/>
      </c>
      <c r="AH173" s="140"/>
      <c r="AI173" s="99" t="str">
        <f t="shared" si="30"/>
        <v/>
      </c>
      <c r="AJ173" s="140"/>
      <c r="AK173" s="28" t="str">
        <f t="shared" si="31"/>
        <v/>
      </c>
      <c r="AL173" s="111" t="str">
        <f t="shared" si="32"/>
        <v/>
      </c>
      <c r="AM173" s="111" t="str">
        <f t="shared" si="33"/>
        <v/>
      </c>
      <c r="AN173" s="178"/>
      <c r="AO173" s="178"/>
      <c r="AP173" s="178"/>
      <c r="AQ173" s="178"/>
      <c r="AR173" s="178"/>
      <c r="AS173" s="178"/>
      <c r="AT173" s="178"/>
      <c r="AU173" s="179" t="str">
        <f>IFERROR(VLOOKUP(AT173,'Seguridad Información'!$I$61:$J$65,2,0),"")</f>
        <v/>
      </c>
      <c r="AV173" s="83"/>
      <c r="AW173" s="82" t="str">
        <f t="shared" si="24"/>
        <v/>
      </c>
      <c r="AX173" s="81" t="str">
        <f t="shared" si="34"/>
        <v/>
      </c>
      <c r="AY173" s="22" t="str">
        <f>IFERROR(VLOOKUP((CONCATENATE(AM173,AX173)),Listados!$U$3:$V$11,2,FALSE),"")</f>
        <v/>
      </c>
      <c r="AZ173" s="111">
        <f t="shared" si="35"/>
        <v>100</v>
      </c>
      <c r="BA173" s="717"/>
      <c r="BB173" s="761"/>
      <c r="BC173" s="142">
        <f>+IF(AND(W173="Preventivo",BB169="Fuerte"),2,IF(AND(W173="Preventivo",BB169="Moderado"),1,0))</f>
        <v>0</v>
      </c>
      <c r="BD173" s="68">
        <f>+IF(AND(W173="Detectivo/Correctivo",$BB169="Fuerte"),2,IF(AND(W173="Detectivo/Correctivo",$BB173="Moderado"),1,IF(AND(W173="Preventivo",$BB169="Fuerte"),1,0)))</f>
        <v>0</v>
      </c>
      <c r="BE173" s="142" t="e">
        <f>+N169-BC173</f>
        <v>#N/A</v>
      </c>
      <c r="BF173" s="142" t="e">
        <f>+P169-BD173</f>
        <v>#N/A</v>
      </c>
      <c r="BG173" s="713"/>
      <c r="BH173" s="713"/>
      <c r="BI173" s="713"/>
      <c r="BJ173" s="803"/>
      <c r="BK173" s="803"/>
      <c r="BL173" s="803"/>
      <c r="BM173" s="803"/>
    </row>
    <row r="174" spans="1:65" ht="65.150000000000006" customHeight="1" thickBot="1">
      <c r="A174" s="725"/>
      <c r="B174" s="812"/>
      <c r="C174" s="731"/>
      <c r="D174" s="113"/>
      <c r="E174" s="113"/>
      <c r="F174" s="815"/>
      <c r="G174" s="781"/>
      <c r="H174" s="105"/>
      <c r="I174" s="161"/>
      <c r="J174" s="105"/>
      <c r="K174" s="30"/>
      <c r="L174" s="150"/>
      <c r="M174" s="727"/>
      <c r="N174" s="721"/>
      <c r="O174" s="810"/>
      <c r="P174" s="721"/>
      <c r="Q174" s="715"/>
      <c r="R174" s="714"/>
      <c r="S174" s="140"/>
      <c r="T174" s="102"/>
      <c r="U174" s="52" t="s">
        <v>467</v>
      </c>
      <c r="V174" s="145"/>
      <c r="W174" s="145"/>
      <c r="X174" s="145"/>
      <c r="Y174" s="99" t="str">
        <f t="shared" si="25"/>
        <v/>
      </c>
      <c r="Z174" s="145"/>
      <c r="AA174" s="99" t="str">
        <f t="shared" si="26"/>
        <v/>
      </c>
      <c r="AB174" s="140"/>
      <c r="AC174" s="99" t="str">
        <f t="shared" si="27"/>
        <v/>
      </c>
      <c r="AD174" s="140"/>
      <c r="AE174" s="99" t="str">
        <f t="shared" si="28"/>
        <v/>
      </c>
      <c r="AF174" s="140"/>
      <c r="AG174" s="99" t="str">
        <f t="shared" si="29"/>
        <v/>
      </c>
      <c r="AH174" s="140"/>
      <c r="AI174" s="99" t="str">
        <f t="shared" si="30"/>
        <v/>
      </c>
      <c r="AJ174" s="140"/>
      <c r="AK174" s="28" t="str">
        <f t="shared" si="31"/>
        <v/>
      </c>
      <c r="AL174" s="111" t="str">
        <f t="shared" si="32"/>
        <v/>
      </c>
      <c r="AM174" s="111" t="str">
        <f t="shared" si="33"/>
        <v/>
      </c>
      <c r="AN174" s="178"/>
      <c r="AO174" s="178"/>
      <c r="AP174" s="178"/>
      <c r="AQ174" s="178"/>
      <c r="AR174" s="178"/>
      <c r="AS174" s="178"/>
      <c r="AT174" s="178"/>
      <c r="AU174" s="179" t="str">
        <f>IFERROR(VLOOKUP(AT174,'Seguridad Información'!$I$61:$J$65,2,0),"")</f>
        <v/>
      </c>
      <c r="AV174" s="83"/>
      <c r="AW174" s="82" t="str">
        <f t="shared" si="24"/>
        <v/>
      </c>
      <c r="AX174" s="81" t="str">
        <f t="shared" si="34"/>
        <v/>
      </c>
      <c r="AY174" s="22" t="str">
        <f>IFERROR(VLOOKUP((CONCATENATE(AM174,AX174)),Listados!$U$3:$V$11,2,FALSE),"")</f>
        <v/>
      </c>
      <c r="AZ174" s="111">
        <f t="shared" si="35"/>
        <v>100</v>
      </c>
      <c r="BA174" s="718"/>
      <c r="BB174" s="761"/>
      <c r="BC174" s="142">
        <f>+IF(AND(W174="Preventivo",BB169="Fuerte"),2,IF(AND(W174="Preventivo",BB169="Moderado"),1,0))</f>
        <v>0</v>
      </c>
      <c r="BD174" s="68">
        <f>+IF(AND(W174="Detectivo/Correctivo",$BB169="Fuerte"),2,IF(AND(W174="Detectivo/Correctivo",$BB174="Moderado"),1,IF(AND(W174="Preventivo",$BB169="Fuerte"),1,0)))</f>
        <v>0</v>
      </c>
      <c r="BE174" s="142" t="e">
        <f>+N169-BC174</f>
        <v>#N/A</v>
      </c>
      <c r="BF174" s="142" t="e">
        <f>+P169-BD174</f>
        <v>#N/A</v>
      </c>
      <c r="BG174" s="714"/>
      <c r="BH174" s="714"/>
      <c r="BI174" s="714"/>
      <c r="BJ174" s="804"/>
      <c r="BK174" s="804"/>
      <c r="BL174" s="804"/>
      <c r="BM174" s="804"/>
    </row>
    <row r="175" spans="1:65" ht="65.150000000000006" customHeight="1" thickBot="1">
      <c r="A175" s="723">
        <v>29</v>
      </c>
      <c r="B175" s="811"/>
      <c r="C175" s="729" t="str">
        <f>IFERROR(VLOOKUP(B175,Listados!B$3:C$20,2,FALSE),"")</f>
        <v/>
      </c>
      <c r="D175" s="114"/>
      <c r="E175" s="114"/>
      <c r="F175" s="813"/>
      <c r="G175" s="735"/>
      <c r="H175" s="105"/>
      <c r="I175" s="161"/>
      <c r="J175" s="105"/>
      <c r="K175" s="109"/>
      <c r="L175" s="18"/>
      <c r="M175" s="762"/>
      <c r="N175" s="719" t="e">
        <f>+VLOOKUP(M175,Listados!$K$8:$L$12,2,0)</f>
        <v>#N/A</v>
      </c>
      <c r="O175" s="809"/>
      <c r="P175" s="719" t="e">
        <f>+VLOOKUP(O175,Listados!$K$13:$L$17,2,0)</f>
        <v>#N/A</v>
      </c>
      <c r="Q175" s="714" t="str">
        <f>IF(AND(M175&lt;&gt;"",O175&lt;&gt;""),VLOOKUP(M175&amp;O175,Listados!$M$3:$N$27,2,FALSE),"")</f>
        <v/>
      </c>
      <c r="R175" s="712" t="e">
        <f>+VLOOKUP(Q175,Listados!$P$3:$Q$6,2,FALSE)</f>
        <v>#N/A</v>
      </c>
      <c r="S175" s="140"/>
      <c r="T175" s="98"/>
      <c r="U175" s="52" t="s">
        <v>467</v>
      </c>
      <c r="V175" s="145"/>
      <c r="W175" s="145"/>
      <c r="X175" s="145"/>
      <c r="Y175" s="99" t="str">
        <f t="shared" si="25"/>
        <v/>
      </c>
      <c r="Z175" s="145"/>
      <c r="AA175" s="99" t="str">
        <f t="shared" si="26"/>
        <v/>
      </c>
      <c r="AB175" s="140"/>
      <c r="AC175" s="99" t="str">
        <f t="shared" si="27"/>
        <v/>
      </c>
      <c r="AD175" s="140"/>
      <c r="AE175" s="99" t="str">
        <f t="shared" si="28"/>
        <v/>
      </c>
      <c r="AF175" s="140"/>
      <c r="AG175" s="99" t="str">
        <f t="shared" si="29"/>
        <v/>
      </c>
      <c r="AH175" s="140"/>
      <c r="AI175" s="99" t="str">
        <f t="shared" si="30"/>
        <v/>
      </c>
      <c r="AJ175" s="140"/>
      <c r="AK175" s="28" t="str">
        <f t="shared" si="31"/>
        <v/>
      </c>
      <c r="AL175" s="111" t="str">
        <f t="shared" si="32"/>
        <v/>
      </c>
      <c r="AM175" s="111" t="str">
        <f t="shared" si="33"/>
        <v/>
      </c>
      <c r="AN175" s="178"/>
      <c r="AO175" s="178"/>
      <c r="AP175" s="178"/>
      <c r="AQ175" s="178"/>
      <c r="AR175" s="178"/>
      <c r="AS175" s="178"/>
      <c r="AT175" s="178"/>
      <c r="AU175" s="179" t="str">
        <f>IFERROR(VLOOKUP(AT175,'Seguridad Información'!$I$61:$J$65,2,0),"")</f>
        <v/>
      </c>
      <c r="AV175" s="83"/>
      <c r="AW175" s="82" t="str">
        <f t="shared" si="24"/>
        <v/>
      </c>
      <c r="AX175" s="81" t="str">
        <f t="shared" si="34"/>
        <v/>
      </c>
      <c r="AY175" s="22" t="str">
        <f>IFERROR(VLOOKUP((CONCATENATE(AM175,AX175)),Listados!$U$3:$V$11,2,FALSE),"")</f>
        <v/>
      </c>
      <c r="AZ175" s="111">
        <f t="shared" si="35"/>
        <v>100</v>
      </c>
      <c r="BA175" s="716">
        <f>AVERAGE(AZ175:AZ180)</f>
        <v>100</v>
      </c>
      <c r="BB175" s="718" t="str">
        <f>IF(BA175&lt;=50, "Débil", IF(BA175&lt;=99,"Moderado","Fuerte"))</f>
        <v>Fuerte</v>
      </c>
      <c r="BC175" s="142">
        <f>+IF(AND(W175="Preventivo",BB175="Fuerte"),2,IF(AND(W175="Preventivo",BB175="Moderado"),1,0))</f>
        <v>0</v>
      </c>
      <c r="BD175" s="68">
        <f>+IF(AND(W175="Detectivo/Correctivo",$BB175="Fuerte"),2,IF(AND(W175="Detectivo/Correctivo",$BB175="Moderado"),1,IF(AND(W175="Preventivo",$BB175="Fuerte"),1,0)))</f>
        <v>0</v>
      </c>
      <c r="BE175" s="142" t="e">
        <f>+N175-BC175</f>
        <v>#N/A</v>
      </c>
      <c r="BF175" s="142" t="e">
        <f>+P175-BD175</f>
        <v>#N/A</v>
      </c>
      <c r="BG175" s="712" t="e">
        <f>+VLOOKUP(MIN(BE175,BE176,BE177,BE178,BE179,BE180),Listados!$J$18:$K$24,2,TRUE)</f>
        <v>#N/A</v>
      </c>
      <c r="BH175" s="712" t="e">
        <f>+VLOOKUP(MIN(BF175,BF176,BF177,BF178,BF179,BF180),Listados!$J$27:$K$32,2,TRUE)</f>
        <v>#N/A</v>
      </c>
      <c r="BI175" s="712" t="e">
        <f>IF(AND(BG175&lt;&gt;"",BH175&lt;&gt;""),VLOOKUP(BG175&amp;BH175,Listados!$M$3:$N$27,2,FALSE),"")</f>
        <v>#N/A</v>
      </c>
      <c r="BJ175" s="802" t="e">
        <f>+IF($R175="Asumir el riesgo","NA","")</f>
        <v>#N/A</v>
      </c>
      <c r="BK175" s="802" t="e">
        <f>+IF($R175="Asumir el riesgo","NA","")</f>
        <v>#N/A</v>
      </c>
      <c r="BL175" s="802" t="e">
        <f>+IF($R175="Asumir el riesgo","NA","")</f>
        <v>#N/A</v>
      </c>
      <c r="BM175" s="802" t="e">
        <f>+IF($R175="Asumir el riesgo","NA","")</f>
        <v>#N/A</v>
      </c>
    </row>
    <row r="176" spans="1:65" ht="65.150000000000006" customHeight="1" thickBot="1">
      <c r="A176" s="724"/>
      <c r="B176" s="812"/>
      <c r="C176" s="730"/>
      <c r="D176" s="158"/>
      <c r="E176" s="158"/>
      <c r="F176" s="814"/>
      <c r="G176" s="736"/>
      <c r="H176" s="105"/>
      <c r="I176" s="161"/>
      <c r="J176" s="105"/>
      <c r="K176" s="160"/>
      <c r="L176" s="150"/>
      <c r="M176" s="727"/>
      <c r="N176" s="720"/>
      <c r="O176" s="810"/>
      <c r="P176" s="720"/>
      <c r="Q176" s="715"/>
      <c r="R176" s="713"/>
      <c r="S176" s="140"/>
      <c r="T176" s="180"/>
      <c r="U176" s="52" t="s">
        <v>467</v>
      </c>
      <c r="V176" s="145"/>
      <c r="W176" s="145"/>
      <c r="X176" s="145"/>
      <c r="Y176" s="99" t="str">
        <f t="shared" si="25"/>
        <v/>
      </c>
      <c r="Z176" s="145"/>
      <c r="AA176" s="99" t="str">
        <f t="shared" si="26"/>
        <v/>
      </c>
      <c r="AB176" s="140"/>
      <c r="AC176" s="99" t="str">
        <f t="shared" si="27"/>
        <v/>
      </c>
      <c r="AD176" s="140"/>
      <c r="AE176" s="99" t="str">
        <f t="shared" si="28"/>
        <v/>
      </c>
      <c r="AF176" s="140"/>
      <c r="AG176" s="99" t="str">
        <f t="shared" si="29"/>
        <v/>
      </c>
      <c r="AH176" s="140"/>
      <c r="AI176" s="99" t="str">
        <f t="shared" si="30"/>
        <v/>
      </c>
      <c r="AJ176" s="140"/>
      <c r="AK176" s="28" t="str">
        <f t="shared" si="31"/>
        <v/>
      </c>
      <c r="AL176" s="111" t="str">
        <f t="shared" si="32"/>
        <v/>
      </c>
      <c r="AM176" s="111" t="str">
        <f t="shared" si="33"/>
        <v/>
      </c>
      <c r="AN176" s="178"/>
      <c r="AO176" s="178"/>
      <c r="AP176" s="178"/>
      <c r="AQ176" s="178"/>
      <c r="AR176" s="178"/>
      <c r="AS176" s="178"/>
      <c r="AT176" s="178"/>
      <c r="AU176" s="179" t="str">
        <f>IFERROR(VLOOKUP(AT176,'Seguridad Información'!$I$61:$J$65,2,0),"")</f>
        <v/>
      </c>
      <c r="AV176" s="83"/>
      <c r="AW176" s="82" t="str">
        <f t="shared" si="24"/>
        <v/>
      </c>
      <c r="AX176" s="81" t="str">
        <f t="shared" si="34"/>
        <v/>
      </c>
      <c r="AY176" s="22" t="str">
        <f>IFERROR(VLOOKUP((CONCATENATE(AM176,AX176)),Listados!$U$3:$V$11,2,FALSE),"")</f>
        <v/>
      </c>
      <c r="AZ176" s="111">
        <f t="shared" si="35"/>
        <v>100</v>
      </c>
      <c r="BA176" s="717"/>
      <c r="BB176" s="761"/>
      <c r="BC176" s="142">
        <f>+IF(AND(W176="Preventivo",BB175="Fuerte"),2,IF(AND(W176="Preventivo",BB175="Moderado"),1,0))</f>
        <v>0</v>
      </c>
      <c r="BD176" s="68">
        <f>+IF(AND(W176="Detectivo/Correctivo",$BB175="Fuerte"),2,IF(AND(W176="Detectivo/Correctivo",$BB176="Moderado"),1,IF(AND(W176="Preventivo",$BB175="Fuerte"),1,0)))</f>
        <v>0</v>
      </c>
      <c r="BE176" s="142" t="e">
        <f>+N175-BC176</f>
        <v>#N/A</v>
      </c>
      <c r="BF176" s="142" t="e">
        <f>+P175-BD176</f>
        <v>#N/A</v>
      </c>
      <c r="BG176" s="713"/>
      <c r="BH176" s="713"/>
      <c r="BI176" s="713"/>
      <c r="BJ176" s="803"/>
      <c r="BK176" s="803"/>
      <c r="BL176" s="803"/>
      <c r="BM176" s="803"/>
    </row>
    <row r="177" spans="1:65" ht="65.150000000000006" customHeight="1" thickBot="1">
      <c r="A177" s="724"/>
      <c r="B177" s="812"/>
      <c r="C177" s="730"/>
      <c r="D177" s="158"/>
      <c r="E177" s="158"/>
      <c r="F177" s="814"/>
      <c r="G177" s="736"/>
      <c r="H177" s="105"/>
      <c r="I177" s="161"/>
      <c r="J177" s="105"/>
      <c r="K177" s="160"/>
      <c r="L177" s="150"/>
      <c r="M177" s="727"/>
      <c r="N177" s="720"/>
      <c r="O177" s="810"/>
      <c r="P177" s="720"/>
      <c r="Q177" s="715"/>
      <c r="R177" s="713"/>
      <c r="S177" s="140"/>
      <c r="T177" s="100"/>
      <c r="U177" s="52" t="s">
        <v>467</v>
      </c>
      <c r="V177" s="145"/>
      <c r="W177" s="145"/>
      <c r="X177" s="145"/>
      <c r="Y177" s="99" t="str">
        <f t="shared" si="25"/>
        <v/>
      </c>
      <c r="Z177" s="145"/>
      <c r="AA177" s="99" t="str">
        <f t="shared" si="26"/>
        <v/>
      </c>
      <c r="AB177" s="140"/>
      <c r="AC177" s="99" t="str">
        <f t="shared" si="27"/>
        <v/>
      </c>
      <c r="AD177" s="140"/>
      <c r="AE177" s="99" t="str">
        <f t="shared" si="28"/>
        <v/>
      </c>
      <c r="AF177" s="140"/>
      <c r="AG177" s="99" t="str">
        <f t="shared" si="29"/>
        <v/>
      </c>
      <c r="AH177" s="140"/>
      <c r="AI177" s="99" t="str">
        <f t="shared" si="30"/>
        <v/>
      </c>
      <c r="AJ177" s="140"/>
      <c r="AK177" s="28" t="str">
        <f t="shared" si="31"/>
        <v/>
      </c>
      <c r="AL177" s="111" t="str">
        <f t="shared" si="32"/>
        <v/>
      </c>
      <c r="AM177" s="111" t="str">
        <f t="shared" si="33"/>
        <v/>
      </c>
      <c r="AN177" s="178"/>
      <c r="AO177" s="178"/>
      <c r="AP177" s="178"/>
      <c r="AQ177" s="178"/>
      <c r="AR177" s="178"/>
      <c r="AS177" s="178"/>
      <c r="AT177" s="178"/>
      <c r="AU177" s="179" t="str">
        <f>IFERROR(VLOOKUP(AT177,'Seguridad Información'!$I$61:$J$65,2,0),"")</f>
        <v/>
      </c>
      <c r="AV177" s="83"/>
      <c r="AW177" s="82" t="str">
        <f t="shared" si="24"/>
        <v/>
      </c>
      <c r="AX177" s="81" t="str">
        <f t="shared" si="34"/>
        <v/>
      </c>
      <c r="AY177" s="22" t="str">
        <f>IFERROR(VLOOKUP((CONCATENATE(AM177,AX177)),Listados!$U$3:$V$11,2,FALSE),"")</f>
        <v/>
      </c>
      <c r="AZ177" s="111">
        <f t="shared" si="35"/>
        <v>100</v>
      </c>
      <c r="BA177" s="717"/>
      <c r="BB177" s="761"/>
      <c r="BC177" s="142">
        <f>+IF(AND(W177="Preventivo",BB175="Fuerte"),2,IF(AND(W177="Preventivo",BB175="Moderado"),1,0))</f>
        <v>0</v>
      </c>
      <c r="BD177" s="68">
        <f>+IF(AND(W177="Detectivo/Correctivo",$BB175="Fuerte"),2,IF(AND(W177="Detectivo/Correctivo",$BB177="Moderado"),1,IF(AND(W177="Preventivo",$BB175="Fuerte"),1,0)))</f>
        <v>0</v>
      </c>
      <c r="BE177" s="142" t="e">
        <f>+N175-BC177</f>
        <v>#N/A</v>
      </c>
      <c r="BF177" s="142" t="e">
        <f>+P175-BD177</f>
        <v>#N/A</v>
      </c>
      <c r="BG177" s="713"/>
      <c r="BH177" s="713"/>
      <c r="BI177" s="713"/>
      <c r="BJ177" s="803"/>
      <c r="BK177" s="803"/>
      <c r="BL177" s="803"/>
      <c r="BM177" s="803"/>
    </row>
    <row r="178" spans="1:65" ht="65.150000000000006" customHeight="1" thickBot="1">
      <c r="A178" s="724"/>
      <c r="B178" s="812"/>
      <c r="C178" s="730"/>
      <c r="D178" s="158"/>
      <c r="E178" s="158"/>
      <c r="F178" s="814"/>
      <c r="G178" s="736"/>
      <c r="H178" s="105"/>
      <c r="I178" s="161"/>
      <c r="J178" s="105"/>
      <c r="K178" s="160"/>
      <c r="L178" s="150"/>
      <c r="M178" s="727"/>
      <c r="N178" s="720"/>
      <c r="O178" s="810"/>
      <c r="P178" s="720"/>
      <c r="Q178" s="715"/>
      <c r="R178" s="713"/>
      <c r="S178" s="140"/>
      <c r="T178" s="101"/>
      <c r="U178" s="52" t="s">
        <v>467</v>
      </c>
      <c r="V178" s="145"/>
      <c r="W178" s="145"/>
      <c r="X178" s="145"/>
      <c r="Y178" s="99" t="str">
        <f t="shared" si="25"/>
        <v/>
      </c>
      <c r="Z178" s="145"/>
      <c r="AA178" s="99" t="str">
        <f t="shared" si="26"/>
        <v/>
      </c>
      <c r="AB178" s="140"/>
      <c r="AC178" s="99" t="str">
        <f t="shared" si="27"/>
        <v/>
      </c>
      <c r="AD178" s="140"/>
      <c r="AE178" s="99" t="str">
        <f t="shared" si="28"/>
        <v/>
      </c>
      <c r="AF178" s="140"/>
      <c r="AG178" s="99" t="str">
        <f t="shared" si="29"/>
        <v/>
      </c>
      <c r="AH178" s="140"/>
      <c r="AI178" s="99" t="str">
        <f t="shared" si="30"/>
        <v/>
      </c>
      <c r="AJ178" s="140"/>
      <c r="AK178" s="28" t="str">
        <f t="shared" si="31"/>
        <v/>
      </c>
      <c r="AL178" s="111" t="str">
        <f t="shared" si="32"/>
        <v/>
      </c>
      <c r="AM178" s="111" t="str">
        <f t="shared" si="33"/>
        <v/>
      </c>
      <c r="AN178" s="178"/>
      <c r="AO178" s="178"/>
      <c r="AP178" s="178"/>
      <c r="AQ178" s="178"/>
      <c r="AR178" s="178"/>
      <c r="AS178" s="178"/>
      <c r="AT178" s="178"/>
      <c r="AU178" s="179" t="str">
        <f>IFERROR(VLOOKUP(AT178,'Seguridad Información'!$I$61:$J$65,2,0),"")</f>
        <v/>
      </c>
      <c r="AV178" s="83"/>
      <c r="AW178" s="82" t="str">
        <f t="shared" si="24"/>
        <v/>
      </c>
      <c r="AX178" s="81" t="str">
        <f t="shared" si="34"/>
        <v/>
      </c>
      <c r="AY178" s="22" t="str">
        <f>IFERROR(VLOOKUP((CONCATENATE(AM178,AX178)),Listados!$U$3:$V$11,2,FALSE),"")</f>
        <v/>
      </c>
      <c r="AZ178" s="111">
        <f t="shared" si="35"/>
        <v>100</v>
      </c>
      <c r="BA178" s="717"/>
      <c r="BB178" s="761"/>
      <c r="BC178" s="142">
        <f>+IF(AND(W178="Preventivo",BB175="Fuerte"),2,IF(AND(W178="Preventivo",BB175="Moderado"),1,0))</f>
        <v>0</v>
      </c>
      <c r="BD178" s="68">
        <f>+IF(AND(W178="Detectivo/Correctivo",$BB175="Fuerte"),2,IF(AND(W178="Detectivo/Correctivo",$BB178="Moderado"),1,IF(AND(W178="Preventivo",$BB175="Fuerte"),1,0)))</f>
        <v>0</v>
      </c>
      <c r="BE178" s="142" t="e">
        <f>+N175-BC178</f>
        <v>#N/A</v>
      </c>
      <c r="BF178" s="142" t="e">
        <f>+P175-BD178</f>
        <v>#N/A</v>
      </c>
      <c r="BG178" s="713"/>
      <c r="BH178" s="713"/>
      <c r="BI178" s="713"/>
      <c r="BJ178" s="803"/>
      <c r="BK178" s="803"/>
      <c r="BL178" s="803"/>
      <c r="BM178" s="803"/>
    </row>
    <row r="179" spans="1:65" ht="65.150000000000006" customHeight="1" thickBot="1">
      <c r="A179" s="724"/>
      <c r="B179" s="812"/>
      <c r="C179" s="730"/>
      <c r="D179" s="116"/>
      <c r="E179" s="116"/>
      <c r="F179" s="814"/>
      <c r="G179" s="736"/>
      <c r="H179" s="105"/>
      <c r="I179" s="161"/>
      <c r="J179" s="105"/>
      <c r="K179" s="29"/>
      <c r="L179" s="150"/>
      <c r="M179" s="727"/>
      <c r="N179" s="720"/>
      <c r="O179" s="810"/>
      <c r="P179" s="720"/>
      <c r="Q179" s="715"/>
      <c r="R179" s="713"/>
      <c r="S179" s="140"/>
      <c r="T179" s="180"/>
      <c r="U179" s="52" t="s">
        <v>467</v>
      </c>
      <c r="V179" s="145"/>
      <c r="W179" s="145"/>
      <c r="X179" s="145"/>
      <c r="Y179" s="99" t="str">
        <f t="shared" si="25"/>
        <v/>
      </c>
      <c r="Z179" s="145"/>
      <c r="AA179" s="99" t="str">
        <f t="shared" si="26"/>
        <v/>
      </c>
      <c r="AB179" s="140"/>
      <c r="AC179" s="99" t="str">
        <f t="shared" si="27"/>
        <v/>
      </c>
      <c r="AD179" s="140"/>
      <c r="AE179" s="99" t="str">
        <f t="shared" si="28"/>
        <v/>
      </c>
      <c r="AF179" s="140"/>
      <c r="AG179" s="99" t="str">
        <f t="shared" si="29"/>
        <v/>
      </c>
      <c r="AH179" s="140"/>
      <c r="AI179" s="99" t="str">
        <f t="shared" si="30"/>
        <v/>
      </c>
      <c r="AJ179" s="140"/>
      <c r="AK179" s="28" t="str">
        <f t="shared" si="31"/>
        <v/>
      </c>
      <c r="AL179" s="111" t="str">
        <f t="shared" si="32"/>
        <v/>
      </c>
      <c r="AM179" s="111" t="str">
        <f t="shared" si="33"/>
        <v/>
      </c>
      <c r="AN179" s="178"/>
      <c r="AO179" s="178"/>
      <c r="AP179" s="178"/>
      <c r="AQ179" s="178"/>
      <c r="AR179" s="178"/>
      <c r="AS179" s="178"/>
      <c r="AT179" s="178"/>
      <c r="AU179" s="179" t="str">
        <f>IFERROR(VLOOKUP(AT179,'Seguridad Información'!$I$61:$J$65,2,0),"")</f>
        <v/>
      </c>
      <c r="AV179" s="83"/>
      <c r="AW179" s="82" t="str">
        <f t="shared" si="24"/>
        <v/>
      </c>
      <c r="AX179" s="81" t="str">
        <f t="shared" si="34"/>
        <v/>
      </c>
      <c r="AY179" s="22" t="str">
        <f>IFERROR(VLOOKUP((CONCATENATE(AM179,AX179)),Listados!$U$3:$V$11,2,FALSE),"")</f>
        <v/>
      </c>
      <c r="AZ179" s="111">
        <f t="shared" si="35"/>
        <v>100</v>
      </c>
      <c r="BA179" s="717"/>
      <c r="BB179" s="761"/>
      <c r="BC179" s="142">
        <f>+IF(AND(W179="Preventivo",BB175="Fuerte"),2,IF(AND(W179="Preventivo",BB175="Moderado"),1,0))</f>
        <v>0</v>
      </c>
      <c r="BD179" s="68">
        <f>+IF(AND(W179="Detectivo/Correctivo",$BB175="Fuerte"),2,IF(AND(W179="Detectivo/Correctivo",$BB179="Moderado"),1,IF(AND(W179="Preventivo",$BB175="Fuerte"),1,0)))</f>
        <v>0</v>
      </c>
      <c r="BE179" s="142" t="e">
        <f>+N175-BC179</f>
        <v>#N/A</v>
      </c>
      <c r="BF179" s="142" t="e">
        <f>+P175-BD179</f>
        <v>#N/A</v>
      </c>
      <c r="BG179" s="713"/>
      <c r="BH179" s="713"/>
      <c r="BI179" s="713"/>
      <c r="BJ179" s="803"/>
      <c r="BK179" s="803"/>
      <c r="BL179" s="803"/>
      <c r="BM179" s="803"/>
    </row>
    <row r="180" spans="1:65" ht="65.150000000000006" customHeight="1" thickBot="1">
      <c r="A180" s="725"/>
      <c r="B180" s="812"/>
      <c r="C180" s="731"/>
      <c r="D180" s="113"/>
      <c r="E180" s="113"/>
      <c r="F180" s="815"/>
      <c r="G180" s="781"/>
      <c r="H180" s="105"/>
      <c r="I180" s="161"/>
      <c r="J180" s="105"/>
      <c r="K180" s="30"/>
      <c r="L180" s="150"/>
      <c r="M180" s="727"/>
      <c r="N180" s="721"/>
      <c r="O180" s="810"/>
      <c r="P180" s="721"/>
      <c r="Q180" s="715"/>
      <c r="R180" s="714"/>
      <c r="S180" s="140"/>
      <c r="T180" s="102"/>
      <c r="U180" s="52" t="s">
        <v>467</v>
      </c>
      <c r="V180" s="145"/>
      <c r="W180" s="145"/>
      <c r="X180" s="145"/>
      <c r="Y180" s="99" t="str">
        <f t="shared" si="25"/>
        <v/>
      </c>
      <c r="Z180" s="145"/>
      <c r="AA180" s="99" t="str">
        <f t="shared" si="26"/>
        <v/>
      </c>
      <c r="AB180" s="140"/>
      <c r="AC180" s="99" t="str">
        <f t="shared" si="27"/>
        <v/>
      </c>
      <c r="AD180" s="140"/>
      <c r="AE180" s="99" t="str">
        <f t="shared" si="28"/>
        <v/>
      </c>
      <c r="AF180" s="140"/>
      <c r="AG180" s="99" t="str">
        <f t="shared" si="29"/>
        <v/>
      </c>
      <c r="AH180" s="140"/>
      <c r="AI180" s="99" t="str">
        <f t="shared" si="30"/>
        <v/>
      </c>
      <c r="AJ180" s="140"/>
      <c r="AK180" s="28" t="str">
        <f t="shared" si="31"/>
        <v/>
      </c>
      <c r="AL180" s="111" t="str">
        <f t="shared" si="32"/>
        <v/>
      </c>
      <c r="AM180" s="111" t="str">
        <f t="shared" si="33"/>
        <v/>
      </c>
      <c r="AN180" s="178"/>
      <c r="AO180" s="178"/>
      <c r="AP180" s="178"/>
      <c r="AQ180" s="178"/>
      <c r="AR180" s="178"/>
      <c r="AS180" s="178"/>
      <c r="AT180" s="178"/>
      <c r="AU180" s="179" t="str">
        <f>IFERROR(VLOOKUP(AT180,'Seguridad Información'!$I$61:$J$65,2,0),"")</f>
        <v/>
      </c>
      <c r="AV180" s="83"/>
      <c r="AW180" s="82" t="str">
        <f t="shared" si="24"/>
        <v/>
      </c>
      <c r="AX180" s="81" t="str">
        <f t="shared" si="34"/>
        <v/>
      </c>
      <c r="AY180" s="22" t="str">
        <f>IFERROR(VLOOKUP((CONCATENATE(AM180,AX180)),Listados!$U$3:$V$11,2,FALSE),"")</f>
        <v/>
      </c>
      <c r="AZ180" s="111">
        <f t="shared" si="35"/>
        <v>100</v>
      </c>
      <c r="BA180" s="718"/>
      <c r="BB180" s="761"/>
      <c r="BC180" s="142">
        <f>+IF(AND(W180="Preventivo",BB175="Fuerte"),2,IF(AND(W180="Preventivo",BB175="Moderado"),1,0))</f>
        <v>0</v>
      </c>
      <c r="BD180" s="68">
        <f>+IF(AND(W180="Detectivo/Correctivo",$BB175="Fuerte"),2,IF(AND(W180="Detectivo/Correctivo",$BB180="Moderado"),1,IF(AND(W180="Preventivo",$BB175="Fuerte"),1,0)))</f>
        <v>0</v>
      </c>
      <c r="BE180" s="142" t="e">
        <f>+N175-BC180</f>
        <v>#N/A</v>
      </c>
      <c r="BF180" s="142" t="e">
        <f>+P175-BD180</f>
        <v>#N/A</v>
      </c>
      <c r="BG180" s="714"/>
      <c r="BH180" s="714"/>
      <c r="BI180" s="714"/>
      <c r="BJ180" s="804"/>
      <c r="BK180" s="804"/>
      <c r="BL180" s="804"/>
      <c r="BM180" s="804"/>
    </row>
    <row r="181" spans="1:65" ht="65.150000000000006" customHeight="1" thickBot="1">
      <c r="A181" s="723">
        <v>30</v>
      </c>
      <c r="B181" s="811"/>
      <c r="C181" s="729" t="str">
        <f>IFERROR(VLOOKUP(B181,Listados!B$3:C$20,2,FALSE),"")</f>
        <v/>
      </c>
      <c r="D181" s="114"/>
      <c r="E181" s="114"/>
      <c r="F181" s="813"/>
      <c r="G181" s="735"/>
      <c r="H181" s="105"/>
      <c r="I181" s="161"/>
      <c r="J181" s="105"/>
      <c r="K181" s="109"/>
      <c r="L181" s="18"/>
      <c r="M181" s="762"/>
      <c r="N181" s="719" t="e">
        <f>+VLOOKUP(M181,Listados!$K$8:$L$12,2,0)</f>
        <v>#N/A</v>
      </c>
      <c r="O181" s="809"/>
      <c r="P181" s="719" t="e">
        <f>+VLOOKUP(O181,Listados!$K$13:$L$17,2,0)</f>
        <v>#N/A</v>
      </c>
      <c r="Q181" s="714" t="str">
        <f>IF(AND(M181&lt;&gt;"",O181&lt;&gt;""),VLOOKUP(M181&amp;O181,Listados!$M$3:$N$27,2,FALSE),"")</f>
        <v/>
      </c>
      <c r="R181" s="712" t="e">
        <f>+VLOOKUP(Q181,Listados!$P$3:$Q$6,2,FALSE)</f>
        <v>#N/A</v>
      </c>
      <c r="S181" s="140"/>
      <c r="T181" s="98"/>
      <c r="U181" s="52" t="s">
        <v>467</v>
      </c>
      <c r="V181" s="145"/>
      <c r="W181" s="145"/>
      <c r="X181" s="145"/>
      <c r="Y181" s="99" t="str">
        <f t="shared" si="25"/>
        <v/>
      </c>
      <c r="Z181" s="145"/>
      <c r="AA181" s="99" t="str">
        <f t="shared" si="26"/>
        <v/>
      </c>
      <c r="AB181" s="140"/>
      <c r="AC181" s="99" t="str">
        <f t="shared" si="27"/>
        <v/>
      </c>
      <c r="AD181" s="140"/>
      <c r="AE181" s="99" t="str">
        <f t="shared" si="28"/>
        <v/>
      </c>
      <c r="AF181" s="140"/>
      <c r="AG181" s="99" t="str">
        <f t="shared" si="29"/>
        <v/>
      </c>
      <c r="AH181" s="140"/>
      <c r="AI181" s="99" t="str">
        <f t="shared" si="30"/>
        <v/>
      </c>
      <c r="AJ181" s="140"/>
      <c r="AK181" s="28" t="str">
        <f t="shared" si="31"/>
        <v/>
      </c>
      <c r="AL181" s="111" t="str">
        <f t="shared" si="32"/>
        <v/>
      </c>
      <c r="AM181" s="111" t="str">
        <f t="shared" si="33"/>
        <v/>
      </c>
      <c r="AN181" s="178"/>
      <c r="AO181" s="178"/>
      <c r="AP181" s="178"/>
      <c r="AQ181" s="178"/>
      <c r="AR181" s="178"/>
      <c r="AS181" s="178"/>
      <c r="AT181" s="178"/>
      <c r="AU181" s="179" t="str">
        <f>IFERROR(VLOOKUP(AT181,'Seguridad Información'!$I$61:$J$65,2,0),"")</f>
        <v/>
      </c>
      <c r="AV181" s="83"/>
      <c r="AW181" s="82" t="str">
        <f t="shared" si="24"/>
        <v/>
      </c>
      <c r="AX181" s="81" t="str">
        <f t="shared" si="34"/>
        <v/>
      </c>
      <c r="AY181" s="22" t="str">
        <f>IFERROR(VLOOKUP((CONCATENATE(AM181,AX181)),Listados!$U$3:$V$11,2,FALSE),"")</f>
        <v/>
      </c>
      <c r="AZ181" s="111">
        <f t="shared" si="35"/>
        <v>100</v>
      </c>
      <c r="BA181" s="716">
        <f>AVERAGE(AZ181:AZ186)</f>
        <v>100</v>
      </c>
      <c r="BB181" s="718" t="str">
        <f>IF(BA181&lt;=50, "Débil", IF(BA181&lt;=99,"Moderado","Fuerte"))</f>
        <v>Fuerte</v>
      </c>
      <c r="BC181" s="142">
        <f>+IF(AND(W181="Preventivo",BB181="Fuerte"),2,IF(AND(W181="Preventivo",BB181="Moderado"),1,0))</f>
        <v>0</v>
      </c>
      <c r="BD181" s="68">
        <f>+IF(AND(W181="Detectivo/Correctivo",$BB181="Fuerte"),2,IF(AND(W181="Detectivo/Correctivo",$BB181="Moderado"),1,IF(AND(W181="Preventivo",$BB181="Fuerte"),1,0)))</f>
        <v>0</v>
      </c>
      <c r="BE181" s="142" t="e">
        <f>+N181-BC181</f>
        <v>#N/A</v>
      </c>
      <c r="BF181" s="142" t="e">
        <f>+P181-BD181</f>
        <v>#N/A</v>
      </c>
      <c r="BG181" s="712" t="e">
        <f>+VLOOKUP(MIN(BE181,BE182,BE183,BE184,BE185,BE186),Listados!$J$18:$K$24,2,TRUE)</f>
        <v>#N/A</v>
      </c>
      <c r="BH181" s="712" t="e">
        <f>+VLOOKUP(MIN(BF181,BF182,BF183,BF184,BF185,BF186),Listados!$J$27:$K$32,2,TRUE)</f>
        <v>#N/A</v>
      </c>
      <c r="BI181" s="712" t="e">
        <f>IF(AND(BG181&lt;&gt;"",BH181&lt;&gt;""),VLOOKUP(BG181&amp;BH181,Listados!$M$3:$N$27,2,FALSE),"")</f>
        <v>#N/A</v>
      </c>
      <c r="BJ181" s="802" t="e">
        <f>+IF($R181="Asumir el riesgo","NA","")</f>
        <v>#N/A</v>
      </c>
      <c r="BK181" s="802" t="e">
        <f>+IF($R181="Asumir el riesgo","NA","")</f>
        <v>#N/A</v>
      </c>
      <c r="BL181" s="802" t="e">
        <f>+IF($R181="Asumir el riesgo","NA","")</f>
        <v>#N/A</v>
      </c>
      <c r="BM181" s="802" t="e">
        <f>+IF($R181="Asumir el riesgo","NA","")</f>
        <v>#N/A</v>
      </c>
    </row>
    <row r="182" spans="1:65" ht="65.150000000000006" customHeight="1" thickBot="1">
      <c r="A182" s="724"/>
      <c r="B182" s="812"/>
      <c r="C182" s="730"/>
      <c r="D182" s="158"/>
      <c r="E182" s="158"/>
      <c r="F182" s="814"/>
      <c r="G182" s="736"/>
      <c r="H182" s="105"/>
      <c r="I182" s="161"/>
      <c r="J182" s="105"/>
      <c r="K182" s="160"/>
      <c r="L182" s="150"/>
      <c r="M182" s="727"/>
      <c r="N182" s="720"/>
      <c r="O182" s="810"/>
      <c r="P182" s="720"/>
      <c r="Q182" s="715"/>
      <c r="R182" s="713"/>
      <c r="S182" s="140"/>
      <c r="T182" s="180"/>
      <c r="U182" s="52" t="s">
        <v>467</v>
      </c>
      <c r="V182" s="145"/>
      <c r="W182" s="145"/>
      <c r="X182" s="145"/>
      <c r="Y182" s="99" t="str">
        <f t="shared" si="25"/>
        <v/>
      </c>
      <c r="Z182" s="145"/>
      <c r="AA182" s="99" t="str">
        <f t="shared" si="26"/>
        <v/>
      </c>
      <c r="AB182" s="140"/>
      <c r="AC182" s="99" t="str">
        <f t="shared" si="27"/>
        <v/>
      </c>
      <c r="AD182" s="140"/>
      <c r="AE182" s="99" t="str">
        <f t="shared" si="28"/>
        <v/>
      </c>
      <c r="AF182" s="140"/>
      <c r="AG182" s="99" t="str">
        <f t="shared" si="29"/>
        <v/>
      </c>
      <c r="AH182" s="140"/>
      <c r="AI182" s="99" t="str">
        <f t="shared" si="30"/>
        <v/>
      </c>
      <c r="AJ182" s="140"/>
      <c r="AK182" s="28" t="str">
        <f t="shared" si="31"/>
        <v/>
      </c>
      <c r="AL182" s="111" t="str">
        <f t="shared" si="32"/>
        <v/>
      </c>
      <c r="AM182" s="111" t="str">
        <f t="shared" si="33"/>
        <v/>
      </c>
      <c r="AN182" s="178"/>
      <c r="AO182" s="178"/>
      <c r="AP182" s="178"/>
      <c r="AQ182" s="178"/>
      <c r="AR182" s="178"/>
      <c r="AS182" s="178"/>
      <c r="AT182" s="178"/>
      <c r="AU182" s="179" t="str">
        <f>IFERROR(VLOOKUP(AT182,'Seguridad Información'!$I$61:$J$65,2,0),"")</f>
        <v/>
      </c>
      <c r="AV182" s="83"/>
      <c r="AW182" s="82" t="str">
        <f t="shared" si="24"/>
        <v/>
      </c>
      <c r="AX182" s="81" t="str">
        <f t="shared" si="34"/>
        <v/>
      </c>
      <c r="AY182" s="22" t="str">
        <f>IFERROR(VLOOKUP((CONCATENATE(AM182,AX182)),Listados!$U$3:$V$11,2,FALSE),"")</f>
        <v/>
      </c>
      <c r="AZ182" s="111">
        <f t="shared" si="35"/>
        <v>100</v>
      </c>
      <c r="BA182" s="717"/>
      <c r="BB182" s="761"/>
      <c r="BC182" s="142">
        <f>+IF(AND(W182="Preventivo",BB181="Fuerte"),2,IF(AND(W182="Preventivo",BB181="Moderado"),1,0))</f>
        <v>0</v>
      </c>
      <c r="BD182" s="68">
        <f>+IF(AND(W182="Detectivo/Correctivo",$BB181="Fuerte"),2,IF(AND(W182="Detectivo/Correctivo",$BB182="Moderado"),1,IF(AND(W182="Preventivo",$BB181="Fuerte"),1,0)))</f>
        <v>0</v>
      </c>
      <c r="BE182" s="142" t="e">
        <f>+N181-BC182</f>
        <v>#N/A</v>
      </c>
      <c r="BF182" s="142" t="e">
        <f>+P181-BD182</f>
        <v>#N/A</v>
      </c>
      <c r="BG182" s="713"/>
      <c r="BH182" s="713"/>
      <c r="BI182" s="713"/>
      <c r="BJ182" s="803"/>
      <c r="BK182" s="803"/>
      <c r="BL182" s="803"/>
      <c r="BM182" s="803"/>
    </row>
    <row r="183" spans="1:65" ht="65.150000000000006" customHeight="1" thickBot="1">
      <c r="A183" s="724"/>
      <c r="B183" s="812"/>
      <c r="C183" s="730"/>
      <c r="D183" s="158"/>
      <c r="E183" s="158"/>
      <c r="F183" s="814"/>
      <c r="G183" s="736"/>
      <c r="H183" s="105"/>
      <c r="I183" s="161"/>
      <c r="J183" s="105"/>
      <c r="K183" s="160"/>
      <c r="L183" s="150"/>
      <c r="M183" s="727"/>
      <c r="N183" s="720"/>
      <c r="O183" s="810"/>
      <c r="P183" s="720"/>
      <c r="Q183" s="715"/>
      <c r="R183" s="713"/>
      <c r="S183" s="140"/>
      <c r="T183" s="100"/>
      <c r="U183" s="52" t="s">
        <v>467</v>
      </c>
      <c r="V183" s="145"/>
      <c r="W183" s="145"/>
      <c r="X183" s="145"/>
      <c r="Y183" s="99" t="str">
        <f t="shared" si="25"/>
        <v/>
      </c>
      <c r="Z183" s="145"/>
      <c r="AA183" s="99" t="str">
        <f t="shared" si="26"/>
        <v/>
      </c>
      <c r="AB183" s="140"/>
      <c r="AC183" s="99" t="str">
        <f t="shared" si="27"/>
        <v/>
      </c>
      <c r="AD183" s="140"/>
      <c r="AE183" s="99" t="str">
        <f t="shared" si="28"/>
        <v/>
      </c>
      <c r="AF183" s="140"/>
      <c r="AG183" s="99" t="str">
        <f t="shared" si="29"/>
        <v/>
      </c>
      <c r="AH183" s="140"/>
      <c r="AI183" s="99" t="str">
        <f t="shared" si="30"/>
        <v/>
      </c>
      <c r="AJ183" s="140"/>
      <c r="AK183" s="28" t="str">
        <f t="shared" si="31"/>
        <v/>
      </c>
      <c r="AL183" s="111" t="str">
        <f t="shared" si="32"/>
        <v/>
      </c>
      <c r="AM183" s="111" t="str">
        <f t="shared" si="33"/>
        <v/>
      </c>
      <c r="AN183" s="178"/>
      <c r="AO183" s="178"/>
      <c r="AP183" s="178"/>
      <c r="AQ183" s="178"/>
      <c r="AR183" s="178"/>
      <c r="AS183" s="178"/>
      <c r="AT183" s="178"/>
      <c r="AU183" s="179" t="str">
        <f>IFERROR(VLOOKUP(AT183,'Seguridad Información'!$I$61:$J$65,2,0),"")</f>
        <v/>
      </c>
      <c r="AV183" s="83"/>
      <c r="AW183" s="82" t="str">
        <f t="shared" si="24"/>
        <v/>
      </c>
      <c r="AX183" s="81" t="str">
        <f t="shared" si="34"/>
        <v/>
      </c>
      <c r="AY183" s="22" t="str">
        <f>IFERROR(VLOOKUP((CONCATENATE(AM183,AX183)),Listados!$U$3:$V$11,2,FALSE),"")</f>
        <v/>
      </c>
      <c r="AZ183" s="111">
        <f t="shared" si="35"/>
        <v>100</v>
      </c>
      <c r="BA183" s="717"/>
      <c r="BB183" s="761"/>
      <c r="BC183" s="142">
        <f>+IF(AND(W183="Preventivo",BB181="Fuerte"),2,IF(AND(W183="Preventivo",BB181="Moderado"),1,0))</f>
        <v>0</v>
      </c>
      <c r="BD183" s="68">
        <f>+IF(AND(W183="Detectivo/Correctivo",$BB181="Fuerte"),2,IF(AND(W183="Detectivo/Correctivo",$BB183="Moderado"),1,IF(AND(W183="Preventivo",$BB181="Fuerte"),1,0)))</f>
        <v>0</v>
      </c>
      <c r="BE183" s="142" t="e">
        <f>+N181-BC183</f>
        <v>#N/A</v>
      </c>
      <c r="BF183" s="142" t="e">
        <f>+P181-BD183</f>
        <v>#N/A</v>
      </c>
      <c r="BG183" s="713"/>
      <c r="BH183" s="713"/>
      <c r="BI183" s="713"/>
      <c r="BJ183" s="803"/>
      <c r="BK183" s="803"/>
      <c r="BL183" s="803"/>
      <c r="BM183" s="803"/>
    </row>
    <row r="184" spans="1:65" ht="65.150000000000006" customHeight="1" thickBot="1">
      <c r="A184" s="724"/>
      <c r="B184" s="812"/>
      <c r="C184" s="730"/>
      <c r="D184" s="158"/>
      <c r="E184" s="158"/>
      <c r="F184" s="814"/>
      <c r="G184" s="736"/>
      <c r="H184" s="105"/>
      <c r="I184" s="161"/>
      <c r="J184" s="105"/>
      <c r="K184" s="160"/>
      <c r="L184" s="150"/>
      <c r="M184" s="727"/>
      <c r="N184" s="720"/>
      <c r="O184" s="810"/>
      <c r="P184" s="720"/>
      <c r="Q184" s="715"/>
      <c r="R184" s="713"/>
      <c r="S184" s="140"/>
      <c r="T184" s="101"/>
      <c r="U184" s="52" t="s">
        <v>467</v>
      </c>
      <c r="V184" s="145"/>
      <c r="W184" s="145"/>
      <c r="X184" s="145"/>
      <c r="Y184" s="99" t="str">
        <f t="shared" si="25"/>
        <v/>
      </c>
      <c r="Z184" s="145"/>
      <c r="AA184" s="99" t="str">
        <f t="shared" si="26"/>
        <v/>
      </c>
      <c r="AB184" s="140"/>
      <c r="AC184" s="99" t="str">
        <f t="shared" si="27"/>
        <v/>
      </c>
      <c r="AD184" s="140"/>
      <c r="AE184" s="99" t="str">
        <f t="shared" si="28"/>
        <v/>
      </c>
      <c r="AF184" s="140"/>
      <c r="AG184" s="99" t="str">
        <f t="shared" si="29"/>
        <v/>
      </c>
      <c r="AH184" s="140"/>
      <c r="AI184" s="99" t="str">
        <f t="shared" si="30"/>
        <v/>
      </c>
      <c r="AJ184" s="140"/>
      <c r="AK184" s="28" t="str">
        <f t="shared" si="31"/>
        <v/>
      </c>
      <c r="AL184" s="111" t="str">
        <f t="shared" si="32"/>
        <v/>
      </c>
      <c r="AM184" s="111" t="str">
        <f t="shared" si="33"/>
        <v/>
      </c>
      <c r="AN184" s="178"/>
      <c r="AO184" s="178"/>
      <c r="AP184" s="178"/>
      <c r="AQ184" s="178"/>
      <c r="AR184" s="178"/>
      <c r="AS184" s="178"/>
      <c r="AT184" s="178"/>
      <c r="AU184" s="179" t="str">
        <f>IFERROR(VLOOKUP(AT184,'Seguridad Información'!$I$61:$J$65,2,0),"")</f>
        <v/>
      </c>
      <c r="AV184" s="83"/>
      <c r="AW184" s="82" t="str">
        <f t="shared" si="24"/>
        <v/>
      </c>
      <c r="AX184" s="81" t="str">
        <f t="shared" si="34"/>
        <v/>
      </c>
      <c r="AY184" s="22" t="str">
        <f>IFERROR(VLOOKUP((CONCATENATE(AM184,AX184)),Listados!$U$3:$V$11,2,FALSE),"")</f>
        <v/>
      </c>
      <c r="AZ184" s="111">
        <f t="shared" si="35"/>
        <v>100</v>
      </c>
      <c r="BA184" s="717"/>
      <c r="BB184" s="761"/>
      <c r="BC184" s="142">
        <f>+IF(AND(W184="Preventivo",BB181="Fuerte"),2,IF(AND(W184="Preventivo",BB181="Moderado"),1,0))</f>
        <v>0</v>
      </c>
      <c r="BD184" s="68">
        <f>+IF(AND(W184="Detectivo/Correctivo",$BB181="Fuerte"),2,IF(AND(W184="Detectivo/Correctivo",$BB184="Moderado"),1,IF(AND(W184="Preventivo",$BB181="Fuerte"),1,0)))</f>
        <v>0</v>
      </c>
      <c r="BE184" s="142" t="e">
        <f>+N181-BC184</f>
        <v>#N/A</v>
      </c>
      <c r="BF184" s="142" t="e">
        <f>+P181-BD184</f>
        <v>#N/A</v>
      </c>
      <c r="BG184" s="713"/>
      <c r="BH184" s="713"/>
      <c r="BI184" s="713"/>
      <c r="BJ184" s="803"/>
      <c r="BK184" s="803"/>
      <c r="BL184" s="803"/>
      <c r="BM184" s="803"/>
    </row>
    <row r="185" spans="1:65" ht="65.150000000000006" customHeight="1" thickBot="1">
      <c r="A185" s="724"/>
      <c r="B185" s="812"/>
      <c r="C185" s="730"/>
      <c r="D185" s="116"/>
      <c r="E185" s="116"/>
      <c r="F185" s="814"/>
      <c r="G185" s="736"/>
      <c r="H185" s="105"/>
      <c r="I185" s="161"/>
      <c r="J185" s="105"/>
      <c r="K185" s="29"/>
      <c r="L185" s="150"/>
      <c r="M185" s="727"/>
      <c r="N185" s="720"/>
      <c r="O185" s="810"/>
      <c r="P185" s="720"/>
      <c r="Q185" s="715"/>
      <c r="R185" s="713"/>
      <c r="S185" s="140"/>
      <c r="T185" s="180"/>
      <c r="U185" s="52" t="s">
        <v>467</v>
      </c>
      <c r="V185" s="145"/>
      <c r="W185" s="145"/>
      <c r="X185" s="145"/>
      <c r="Y185" s="99" t="str">
        <f t="shared" si="25"/>
        <v/>
      </c>
      <c r="Z185" s="145"/>
      <c r="AA185" s="99" t="str">
        <f t="shared" si="26"/>
        <v/>
      </c>
      <c r="AB185" s="140"/>
      <c r="AC185" s="99" t="str">
        <f t="shared" si="27"/>
        <v/>
      </c>
      <c r="AD185" s="140"/>
      <c r="AE185" s="99" t="str">
        <f t="shared" si="28"/>
        <v/>
      </c>
      <c r="AF185" s="140"/>
      <c r="AG185" s="99" t="str">
        <f t="shared" si="29"/>
        <v/>
      </c>
      <c r="AH185" s="140"/>
      <c r="AI185" s="99" t="str">
        <f t="shared" si="30"/>
        <v/>
      </c>
      <c r="AJ185" s="140"/>
      <c r="AK185" s="28" t="str">
        <f t="shared" si="31"/>
        <v/>
      </c>
      <c r="AL185" s="111" t="str">
        <f t="shared" si="32"/>
        <v/>
      </c>
      <c r="AM185" s="111" t="str">
        <f t="shared" si="33"/>
        <v/>
      </c>
      <c r="AN185" s="178"/>
      <c r="AO185" s="178"/>
      <c r="AP185" s="178"/>
      <c r="AQ185" s="178"/>
      <c r="AR185" s="178"/>
      <c r="AS185" s="178"/>
      <c r="AT185" s="178"/>
      <c r="AU185" s="179" t="str">
        <f>IFERROR(VLOOKUP(AT185,'Seguridad Información'!$I$61:$J$65,2,0),"")</f>
        <v/>
      </c>
      <c r="AV185" s="83"/>
      <c r="AW185" s="82" t="str">
        <f t="shared" si="24"/>
        <v/>
      </c>
      <c r="AX185" s="81" t="str">
        <f t="shared" si="34"/>
        <v/>
      </c>
      <c r="AY185" s="22" t="str">
        <f>IFERROR(VLOOKUP((CONCATENATE(AM185,AX185)),Listados!$U$3:$V$11,2,FALSE),"")</f>
        <v/>
      </c>
      <c r="AZ185" s="111">
        <f t="shared" si="35"/>
        <v>100</v>
      </c>
      <c r="BA185" s="717"/>
      <c r="BB185" s="761"/>
      <c r="BC185" s="142">
        <f>+IF(AND(W185="Preventivo",BB181="Fuerte"),2,IF(AND(W185="Preventivo",BB181="Moderado"),1,0))</f>
        <v>0</v>
      </c>
      <c r="BD185" s="68">
        <f>+IF(AND(W185="Detectivo/Correctivo",$BB181="Fuerte"),2,IF(AND(W185="Detectivo/Correctivo",$BB185="Moderado"),1,IF(AND(W185="Preventivo",$BB181="Fuerte"),1,0)))</f>
        <v>0</v>
      </c>
      <c r="BE185" s="142" t="e">
        <f>+N181-BC185</f>
        <v>#N/A</v>
      </c>
      <c r="BF185" s="142" t="e">
        <f>+P181-BD185</f>
        <v>#N/A</v>
      </c>
      <c r="BG185" s="713"/>
      <c r="BH185" s="713"/>
      <c r="BI185" s="713"/>
      <c r="BJ185" s="803"/>
      <c r="BK185" s="803"/>
      <c r="BL185" s="803"/>
      <c r="BM185" s="803"/>
    </row>
    <row r="186" spans="1:65" ht="65.150000000000006" customHeight="1" thickBot="1">
      <c r="A186" s="725"/>
      <c r="B186" s="812"/>
      <c r="C186" s="731"/>
      <c r="D186" s="113"/>
      <c r="E186" s="113"/>
      <c r="F186" s="815"/>
      <c r="G186" s="781"/>
      <c r="H186" s="105"/>
      <c r="I186" s="161"/>
      <c r="J186" s="105"/>
      <c r="K186" s="30"/>
      <c r="L186" s="150"/>
      <c r="M186" s="727"/>
      <c r="N186" s="721"/>
      <c r="O186" s="810"/>
      <c r="P186" s="721"/>
      <c r="Q186" s="715"/>
      <c r="R186" s="714"/>
      <c r="S186" s="140"/>
      <c r="T186" s="102"/>
      <c r="U186" s="52" t="s">
        <v>467</v>
      </c>
      <c r="V186" s="145"/>
      <c r="W186" s="145"/>
      <c r="X186" s="145"/>
      <c r="Y186" s="99" t="str">
        <f t="shared" si="25"/>
        <v/>
      </c>
      <c r="Z186" s="145"/>
      <c r="AA186" s="99" t="str">
        <f t="shared" si="26"/>
        <v/>
      </c>
      <c r="AB186" s="140"/>
      <c r="AC186" s="99" t="str">
        <f t="shared" si="27"/>
        <v/>
      </c>
      <c r="AD186" s="140"/>
      <c r="AE186" s="99" t="str">
        <f t="shared" si="28"/>
        <v/>
      </c>
      <c r="AF186" s="140"/>
      <c r="AG186" s="99" t="str">
        <f t="shared" si="29"/>
        <v/>
      </c>
      <c r="AH186" s="140"/>
      <c r="AI186" s="99" t="str">
        <f t="shared" si="30"/>
        <v/>
      </c>
      <c r="AJ186" s="140"/>
      <c r="AK186" s="28" t="str">
        <f t="shared" si="31"/>
        <v/>
      </c>
      <c r="AL186" s="111" t="str">
        <f t="shared" si="32"/>
        <v/>
      </c>
      <c r="AM186" s="111" t="str">
        <f t="shared" si="33"/>
        <v/>
      </c>
      <c r="AN186" s="178"/>
      <c r="AO186" s="178"/>
      <c r="AP186" s="178"/>
      <c r="AQ186" s="178"/>
      <c r="AR186" s="178"/>
      <c r="AS186" s="178"/>
      <c r="AT186" s="178"/>
      <c r="AU186" s="179" t="str">
        <f>IFERROR(VLOOKUP(AT186,'Seguridad Información'!$I$61:$J$65,2,0),"")</f>
        <v/>
      </c>
      <c r="AV186" s="83"/>
      <c r="AW186" s="82" t="str">
        <f t="shared" si="24"/>
        <v/>
      </c>
      <c r="AX186" s="81" t="str">
        <f t="shared" si="34"/>
        <v/>
      </c>
      <c r="AY186" s="22" t="str">
        <f>IFERROR(VLOOKUP((CONCATENATE(AM186,AX186)),Listados!$U$3:$V$11,2,FALSE),"")</f>
        <v/>
      </c>
      <c r="AZ186" s="111">
        <f t="shared" si="35"/>
        <v>100</v>
      </c>
      <c r="BA186" s="718"/>
      <c r="BB186" s="761"/>
      <c r="BC186" s="142">
        <f>+IF(AND(W186="Preventivo",BB181="Fuerte"),2,IF(AND(W186="Preventivo",BB181="Moderado"),1,0))</f>
        <v>0</v>
      </c>
      <c r="BD186" s="68">
        <f>+IF(AND(W186="Detectivo/Correctivo",$BB181="Fuerte"),2,IF(AND(W186="Detectivo/Correctivo",$BB186="Moderado"),1,IF(AND(W186="Preventivo",$BB181="Fuerte"),1,0)))</f>
        <v>0</v>
      </c>
      <c r="BE186" s="142" t="e">
        <f>+N181-BC186</f>
        <v>#N/A</v>
      </c>
      <c r="BF186" s="142" t="e">
        <f>+P181-BD186</f>
        <v>#N/A</v>
      </c>
      <c r="BG186" s="714"/>
      <c r="BH186" s="714"/>
      <c r="BI186" s="714"/>
      <c r="BJ186" s="804"/>
      <c r="BK186" s="804"/>
      <c r="BL186" s="804"/>
      <c r="BM186" s="804"/>
    </row>
    <row r="187" spans="1:65" ht="65.150000000000006" customHeight="1" thickBot="1">
      <c r="A187" s="723">
        <v>31</v>
      </c>
      <c r="B187" s="811"/>
      <c r="C187" s="729" t="str">
        <f>IFERROR(VLOOKUP(B187,Listados!B$3:C$20,2,FALSE),"")</f>
        <v/>
      </c>
      <c r="D187" s="114"/>
      <c r="E187" s="114"/>
      <c r="F187" s="813"/>
      <c r="G187" s="735"/>
      <c r="H187" s="105"/>
      <c r="I187" s="161"/>
      <c r="J187" s="105"/>
      <c r="K187" s="109"/>
      <c r="L187" s="18"/>
      <c r="M187" s="762"/>
      <c r="N187" s="719" t="e">
        <f>+VLOOKUP(M187,Listados!$K$8:$L$12,2,0)</f>
        <v>#N/A</v>
      </c>
      <c r="O187" s="809"/>
      <c r="P187" s="719" t="e">
        <f>+VLOOKUP(O187,Listados!$K$13:$L$17,2,0)</f>
        <v>#N/A</v>
      </c>
      <c r="Q187" s="714" t="str">
        <f>IF(AND(M187&lt;&gt;"",O187&lt;&gt;""),VLOOKUP(M187&amp;O187,Listados!$M$3:$N$27,2,FALSE),"")</f>
        <v/>
      </c>
      <c r="R187" s="712" t="e">
        <f>+VLOOKUP(Q187,Listados!$P$3:$Q$6,2,FALSE)</f>
        <v>#N/A</v>
      </c>
      <c r="S187" s="140"/>
      <c r="T187" s="98"/>
      <c r="U187" s="52" t="s">
        <v>467</v>
      </c>
      <c r="V187" s="145"/>
      <c r="W187" s="145"/>
      <c r="X187" s="145"/>
      <c r="Y187" s="99" t="str">
        <f t="shared" si="25"/>
        <v/>
      </c>
      <c r="Z187" s="145"/>
      <c r="AA187" s="99" t="str">
        <f t="shared" si="26"/>
        <v/>
      </c>
      <c r="AB187" s="140"/>
      <c r="AC187" s="99" t="str">
        <f t="shared" si="27"/>
        <v/>
      </c>
      <c r="AD187" s="140"/>
      <c r="AE187" s="99" t="str">
        <f t="shared" si="28"/>
        <v/>
      </c>
      <c r="AF187" s="140"/>
      <c r="AG187" s="99" t="str">
        <f t="shared" si="29"/>
        <v/>
      </c>
      <c r="AH187" s="140"/>
      <c r="AI187" s="99" t="str">
        <f t="shared" si="30"/>
        <v/>
      </c>
      <c r="AJ187" s="140"/>
      <c r="AK187" s="28" t="str">
        <f t="shared" si="31"/>
        <v/>
      </c>
      <c r="AL187" s="111" t="str">
        <f t="shared" si="32"/>
        <v/>
      </c>
      <c r="AM187" s="111" t="str">
        <f t="shared" si="33"/>
        <v/>
      </c>
      <c r="AN187" s="178"/>
      <c r="AO187" s="178"/>
      <c r="AP187" s="178"/>
      <c r="AQ187" s="178"/>
      <c r="AR187" s="178"/>
      <c r="AS187" s="178"/>
      <c r="AT187" s="178"/>
      <c r="AU187" s="179" t="str">
        <f>IFERROR(VLOOKUP(AT187,'Seguridad Información'!$I$61:$J$65,2,0),"")</f>
        <v/>
      </c>
      <c r="AV187" s="83"/>
      <c r="AW187" s="82" t="str">
        <f t="shared" si="24"/>
        <v/>
      </c>
      <c r="AX187" s="81" t="str">
        <f t="shared" si="34"/>
        <v/>
      </c>
      <c r="AY187" s="22" t="str">
        <f>IFERROR(VLOOKUP((CONCATENATE(AM187,AX187)),Listados!$U$3:$V$11,2,FALSE),"")</f>
        <v/>
      </c>
      <c r="AZ187" s="111">
        <f t="shared" si="35"/>
        <v>100</v>
      </c>
      <c r="BA187" s="716">
        <f>AVERAGE(AZ187:AZ192)</f>
        <v>100</v>
      </c>
      <c r="BB187" s="718" t="str">
        <f>IF(BA187&lt;=50, "Débil", IF(BA187&lt;=99,"Moderado","Fuerte"))</f>
        <v>Fuerte</v>
      </c>
      <c r="BC187" s="142">
        <f>+IF(AND(W187="Preventivo",BB187="Fuerte"),2,IF(AND(W187="Preventivo",BB187="Moderado"),1,0))</f>
        <v>0</v>
      </c>
      <c r="BD187" s="68">
        <f>+IF(AND(W187="Detectivo/Correctivo",$BB187="Fuerte"),2,IF(AND(W187="Detectivo/Correctivo",$BB187="Moderado"),1,IF(AND(W187="Preventivo",$BB187="Fuerte"),1,0)))</f>
        <v>0</v>
      </c>
      <c r="BE187" s="142" t="e">
        <f>+N187-BC187</f>
        <v>#N/A</v>
      </c>
      <c r="BF187" s="142" t="e">
        <f>+P187-BD187</f>
        <v>#N/A</v>
      </c>
      <c r="BG187" s="712" t="e">
        <f>+VLOOKUP(MIN(BE187,BE188,BE189,BE190,BE191,BE192),Listados!$J$18:$K$24,2,TRUE)</f>
        <v>#N/A</v>
      </c>
      <c r="BH187" s="712" t="e">
        <f>+VLOOKUP(MIN(BF187,BF188,BF189,BF190,BF191,BF192),Listados!$J$27:$K$32,2,TRUE)</f>
        <v>#N/A</v>
      </c>
      <c r="BI187" s="712" t="e">
        <f>IF(AND(BG187&lt;&gt;"",BH187&lt;&gt;""),VLOOKUP(BG187&amp;BH187,Listados!$M$3:$N$27,2,FALSE),"")</f>
        <v>#N/A</v>
      </c>
      <c r="BJ187" s="802" t="e">
        <f>+IF($R187="Asumir el riesgo","NA","")</f>
        <v>#N/A</v>
      </c>
      <c r="BK187" s="802" t="e">
        <f>+IF($R187="Asumir el riesgo","NA","")</f>
        <v>#N/A</v>
      </c>
      <c r="BL187" s="802" t="e">
        <f>+IF($R187="Asumir el riesgo","NA","")</f>
        <v>#N/A</v>
      </c>
      <c r="BM187" s="802" t="e">
        <f>+IF($R187="Asumir el riesgo","NA","")</f>
        <v>#N/A</v>
      </c>
    </row>
    <row r="188" spans="1:65" ht="65.150000000000006" customHeight="1" thickBot="1">
      <c r="A188" s="724"/>
      <c r="B188" s="812"/>
      <c r="C188" s="730"/>
      <c r="D188" s="158"/>
      <c r="E188" s="158"/>
      <c r="F188" s="814"/>
      <c r="G188" s="736"/>
      <c r="H188" s="105"/>
      <c r="I188" s="161"/>
      <c r="J188" s="105"/>
      <c r="K188" s="160"/>
      <c r="L188" s="150"/>
      <c r="M188" s="727"/>
      <c r="N188" s="720"/>
      <c r="O188" s="810"/>
      <c r="P188" s="720"/>
      <c r="Q188" s="715"/>
      <c r="R188" s="713"/>
      <c r="S188" s="140"/>
      <c r="T188" s="180"/>
      <c r="U188" s="52" t="s">
        <v>467</v>
      </c>
      <c r="V188" s="145"/>
      <c r="W188" s="145"/>
      <c r="X188" s="145"/>
      <c r="Y188" s="99" t="str">
        <f t="shared" si="25"/>
        <v/>
      </c>
      <c r="Z188" s="145"/>
      <c r="AA188" s="99" t="str">
        <f t="shared" si="26"/>
        <v/>
      </c>
      <c r="AB188" s="140"/>
      <c r="AC188" s="99" t="str">
        <f t="shared" si="27"/>
        <v/>
      </c>
      <c r="AD188" s="140"/>
      <c r="AE188" s="99" t="str">
        <f t="shared" si="28"/>
        <v/>
      </c>
      <c r="AF188" s="140"/>
      <c r="AG188" s="99" t="str">
        <f t="shared" si="29"/>
        <v/>
      </c>
      <c r="AH188" s="140"/>
      <c r="AI188" s="99" t="str">
        <f t="shared" si="30"/>
        <v/>
      </c>
      <c r="AJ188" s="140"/>
      <c r="AK188" s="28" t="str">
        <f t="shared" si="31"/>
        <v/>
      </c>
      <c r="AL188" s="111" t="str">
        <f t="shared" si="32"/>
        <v/>
      </c>
      <c r="AM188" s="111" t="str">
        <f t="shared" si="33"/>
        <v/>
      </c>
      <c r="AN188" s="178"/>
      <c r="AO188" s="178"/>
      <c r="AP188" s="178"/>
      <c r="AQ188" s="178"/>
      <c r="AR188" s="178"/>
      <c r="AS188" s="178"/>
      <c r="AT188" s="178"/>
      <c r="AU188" s="179" t="str">
        <f>IFERROR(VLOOKUP(AT188,'Seguridad Información'!$I$61:$J$65,2,0),"")</f>
        <v/>
      </c>
      <c r="AV188" s="83"/>
      <c r="AW188" s="82" t="str">
        <f t="shared" si="24"/>
        <v/>
      </c>
      <c r="AX188" s="81" t="str">
        <f t="shared" si="34"/>
        <v/>
      </c>
      <c r="AY188" s="22" t="str">
        <f>IFERROR(VLOOKUP((CONCATENATE(AM188,AX188)),Listados!$U$3:$V$11,2,FALSE),"")</f>
        <v/>
      </c>
      <c r="AZ188" s="111">
        <f t="shared" si="35"/>
        <v>100</v>
      </c>
      <c r="BA188" s="717"/>
      <c r="BB188" s="761"/>
      <c r="BC188" s="142">
        <f>+IF(AND(W188="Preventivo",BB187="Fuerte"),2,IF(AND(W188="Preventivo",BB187="Moderado"),1,0))</f>
        <v>0</v>
      </c>
      <c r="BD188" s="68">
        <f>+IF(AND(W188="Detectivo/Correctivo",$BB187="Fuerte"),2,IF(AND(W188="Detectivo/Correctivo",$BB188="Moderado"),1,IF(AND(W188="Preventivo",$BB187="Fuerte"),1,0)))</f>
        <v>0</v>
      </c>
      <c r="BE188" s="142" t="e">
        <f>+N187-BC188</f>
        <v>#N/A</v>
      </c>
      <c r="BF188" s="142" t="e">
        <f>+P187-BD188</f>
        <v>#N/A</v>
      </c>
      <c r="BG188" s="713"/>
      <c r="BH188" s="713"/>
      <c r="BI188" s="713"/>
      <c r="BJ188" s="803"/>
      <c r="BK188" s="803"/>
      <c r="BL188" s="803"/>
      <c r="BM188" s="803"/>
    </row>
    <row r="189" spans="1:65" ht="65.150000000000006" customHeight="1" thickBot="1">
      <c r="A189" s="724"/>
      <c r="B189" s="812"/>
      <c r="C189" s="730"/>
      <c r="D189" s="158"/>
      <c r="E189" s="158"/>
      <c r="F189" s="814"/>
      <c r="G189" s="736"/>
      <c r="H189" s="105"/>
      <c r="I189" s="161"/>
      <c r="J189" s="105"/>
      <c r="K189" s="160"/>
      <c r="L189" s="150"/>
      <c r="M189" s="727"/>
      <c r="N189" s="720"/>
      <c r="O189" s="810"/>
      <c r="P189" s="720"/>
      <c r="Q189" s="715"/>
      <c r="R189" s="713"/>
      <c r="S189" s="140"/>
      <c r="T189" s="100"/>
      <c r="U189" s="52" t="s">
        <v>467</v>
      </c>
      <c r="V189" s="145"/>
      <c r="W189" s="145"/>
      <c r="X189" s="145"/>
      <c r="Y189" s="99" t="str">
        <f t="shared" si="25"/>
        <v/>
      </c>
      <c r="Z189" s="145"/>
      <c r="AA189" s="99" t="str">
        <f t="shared" si="26"/>
        <v/>
      </c>
      <c r="AB189" s="140"/>
      <c r="AC189" s="99" t="str">
        <f t="shared" si="27"/>
        <v/>
      </c>
      <c r="AD189" s="140"/>
      <c r="AE189" s="99" t="str">
        <f t="shared" si="28"/>
        <v/>
      </c>
      <c r="AF189" s="140"/>
      <c r="AG189" s="99" t="str">
        <f t="shared" si="29"/>
        <v/>
      </c>
      <c r="AH189" s="140"/>
      <c r="AI189" s="99" t="str">
        <f t="shared" si="30"/>
        <v/>
      </c>
      <c r="AJ189" s="140"/>
      <c r="AK189" s="28" t="str">
        <f t="shared" si="31"/>
        <v/>
      </c>
      <c r="AL189" s="111" t="str">
        <f t="shared" si="32"/>
        <v/>
      </c>
      <c r="AM189" s="111" t="str">
        <f t="shared" si="33"/>
        <v/>
      </c>
      <c r="AN189" s="178"/>
      <c r="AO189" s="178"/>
      <c r="AP189" s="178"/>
      <c r="AQ189" s="178"/>
      <c r="AR189" s="178"/>
      <c r="AS189" s="178"/>
      <c r="AT189" s="178"/>
      <c r="AU189" s="179" t="str">
        <f>IFERROR(VLOOKUP(AT189,'Seguridad Información'!$I$61:$J$65,2,0),"")</f>
        <v/>
      </c>
      <c r="AV189" s="83"/>
      <c r="AW189" s="82" t="str">
        <f t="shared" si="24"/>
        <v/>
      </c>
      <c r="AX189" s="81" t="str">
        <f t="shared" si="34"/>
        <v/>
      </c>
      <c r="AY189" s="22" t="str">
        <f>IFERROR(VLOOKUP((CONCATENATE(AM189,AX189)),Listados!$U$3:$V$11,2,FALSE),"")</f>
        <v/>
      </c>
      <c r="AZ189" s="111">
        <f t="shared" si="35"/>
        <v>100</v>
      </c>
      <c r="BA189" s="717"/>
      <c r="BB189" s="761"/>
      <c r="BC189" s="142">
        <f>+IF(AND(W189="Preventivo",BB187="Fuerte"),2,IF(AND(W189="Preventivo",BB187="Moderado"),1,0))</f>
        <v>0</v>
      </c>
      <c r="BD189" s="68">
        <f>+IF(AND(W189="Detectivo/Correctivo",$BB187="Fuerte"),2,IF(AND(W189="Detectivo/Correctivo",$BB189="Moderado"),1,IF(AND(W189="Preventivo",$BB187="Fuerte"),1,0)))</f>
        <v>0</v>
      </c>
      <c r="BE189" s="142" t="e">
        <f>+N187-BC189</f>
        <v>#N/A</v>
      </c>
      <c r="BF189" s="142" t="e">
        <f>+P187-BD189</f>
        <v>#N/A</v>
      </c>
      <c r="BG189" s="713"/>
      <c r="BH189" s="713"/>
      <c r="BI189" s="713"/>
      <c r="BJ189" s="803"/>
      <c r="BK189" s="803"/>
      <c r="BL189" s="803"/>
      <c r="BM189" s="803"/>
    </row>
    <row r="190" spans="1:65" ht="65.150000000000006" customHeight="1" thickBot="1">
      <c r="A190" s="724"/>
      <c r="B190" s="812"/>
      <c r="C190" s="730"/>
      <c r="D190" s="158"/>
      <c r="E190" s="158"/>
      <c r="F190" s="814"/>
      <c r="G190" s="736"/>
      <c r="H190" s="105"/>
      <c r="I190" s="161"/>
      <c r="J190" s="105"/>
      <c r="K190" s="160"/>
      <c r="L190" s="150"/>
      <c r="M190" s="727"/>
      <c r="N190" s="720"/>
      <c r="O190" s="810"/>
      <c r="P190" s="720"/>
      <c r="Q190" s="715"/>
      <c r="R190" s="713"/>
      <c r="S190" s="140"/>
      <c r="T190" s="101"/>
      <c r="U190" s="52" t="s">
        <v>467</v>
      </c>
      <c r="V190" s="145"/>
      <c r="W190" s="145"/>
      <c r="X190" s="145"/>
      <c r="Y190" s="99" t="str">
        <f t="shared" si="25"/>
        <v/>
      </c>
      <c r="Z190" s="145"/>
      <c r="AA190" s="99" t="str">
        <f t="shared" si="26"/>
        <v/>
      </c>
      <c r="AB190" s="140"/>
      <c r="AC190" s="99" t="str">
        <f t="shared" si="27"/>
        <v/>
      </c>
      <c r="AD190" s="140"/>
      <c r="AE190" s="99" t="str">
        <f t="shared" si="28"/>
        <v/>
      </c>
      <c r="AF190" s="140"/>
      <c r="AG190" s="99" t="str">
        <f t="shared" si="29"/>
        <v/>
      </c>
      <c r="AH190" s="140"/>
      <c r="AI190" s="99" t="str">
        <f t="shared" si="30"/>
        <v/>
      </c>
      <c r="AJ190" s="140"/>
      <c r="AK190" s="28" t="str">
        <f t="shared" si="31"/>
        <v/>
      </c>
      <c r="AL190" s="111" t="str">
        <f t="shared" si="32"/>
        <v/>
      </c>
      <c r="AM190" s="111" t="str">
        <f t="shared" si="33"/>
        <v/>
      </c>
      <c r="AN190" s="178"/>
      <c r="AO190" s="178"/>
      <c r="AP190" s="178"/>
      <c r="AQ190" s="178"/>
      <c r="AR190" s="178"/>
      <c r="AS190" s="178"/>
      <c r="AT190" s="178"/>
      <c r="AU190" s="179" t="str">
        <f>IFERROR(VLOOKUP(AT190,'Seguridad Información'!$I$61:$J$65,2,0),"")</f>
        <v/>
      </c>
      <c r="AV190" s="83"/>
      <c r="AW190" s="82" t="str">
        <f t="shared" si="24"/>
        <v/>
      </c>
      <c r="AX190" s="81" t="str">
        <f t="shared" si="34"/>
        <v/>
      </c>
      <c r="AY190" s="22" t="str">
        <f>IFERROR(VLOOKUP((CONCATENATE(AM190,AX190)),Listados!$U$3:$V$11,2,FALSE),"")</f>
        <v/>
      </c>
      <c r="AZ190" s="111">
        <f t="shared" si="35"/>
        <v>100</v>
      </c>
      <c r="BA190" s="717"/>
      <c r="BB190" s="761"/>
      <c r="BC190" s="142">
        <f>+IF(AND(W190="Preventivo",BB187="Fuerte"),2,IF(AND(W190="Preventivo",BB187="Moderado"),1,0))</f>
        <v>0</v>
      </c>
      <c r="BD190" s="68">
        <f>+IF(AND(W190="Detectivo/Correctivo",$BB187="Fuerte"),2,IF(AND(W190="Detectivo/Correctivo",$BB190="Moderado"),1,IF(AND(W190="Preventivo",$BB187="Fuerte"),1,0)))</f>
        <v>0</v>
      </c>
      <c r="BE190" s="142" t="e">
        <f>+N187-BC190</f>
        <v>#N/A</v>
      </c>
      <c r="BF190" s="142" t="e">
        <f>+P187-BD190</f>
        <v>#N/A</v>
      </c>
      <c r="BG190" s="713"/>
      <c r="BH190" s="713"/>
      <c r="BI190" s="713"/>
      <c r="BJ190" s="803"/>
      <c r="BK190" s="803"/>
      <c r="BL190" s="803"/>
      <c r="BM190" s="803"/>
    </row>
    <row r="191" spans="1:65" ht="65.150000000000006" customHeight="1" thickBot="1">
      <c r="A191" s="724"/>
      <c r="B191" s="812"/>
      <c r="C191" s="730"/>
      <c r="D191" s="116"/>
      <c r="E191" s="116"/>
      <c r="F191" s="814"/>
      <c r="G191" s="736"/>
      <c r="H191" s="105"/>
      <c r="I191" s="161"/>
      <c r="J191" s="105"/>
      <c r="K191" s="29"/>
      <c r="L191" s="150"/>
      <c r="M191" s="727"/>
      <c r="N191" s="720"/>
      <c r="O191" s="810"/>
      <c r="P191" s="720"/>
      <c r="Q191" s="715"/>
      <c r="R191" s="713"/>
      <c r="S191" s="140"/>
      <c r="T191" s="180"/>
      <c r="U191" s="52" t="s">
        <v>467</v>
      </c>
      <c r="V191" s="145"/>
      <c r="W191" s="145"/>
      <c r="X191" s="145"/>
      <c r="Y191" s="99" t="str">
        <f t="shared" si="25"/>
        <v/>
      </c>
      <c r="Z191" s="145"/>
      <c r="AA191" s="99" t="str">
        <f t="shared" si="26"/>
        <v/>
      </c>
      <c r="AB191" s="140"/>
      <c r="AC191" s="99" t="str">
        <f t="shared" si="27"/>
        <v/>
      </c>
      <c r="AD191" s="140"/>
      <c r="AE191" s="99" t="str">
        <f t="shared" si="28"/>
        <v/>
      </c>
      <c r="AF191" s="140"/>
      <c r="AG191" s="99" t="str">
        <f t="shared" si="29"/>
        <v/>
      </c>
      <c r="AH191" s="140"/>
      <c r="AI191" s="99" t="str">
        <f t="shared" si="30"/>
        <v/>
      </c>
      <c r="AJ191" s="140"/>
      <c r="AK191" s="28" t="str">
        <f t="shared" si="31"/>
        <v/>
      </c>
      <c r="AL191" s="111" t="str">
        <f t="shared" si="32"/>
        <v/>
      </c>
      <c r="AM191" s="111" t="str">
        <f t="shared" si="33"/>
        <v/>
      </c>
      <c r="AN191" s="178"/>
      <c r="AO191" s="178"/>
      <c r="AP191" s="178"/>
      <c r="AQ191" s="178"/>
      <c r="AR191" s="178"/>
      <c r="AS191" s="178"/>
      <c r="AT191" s="178"/>
      <c r="AU191" s="179" t="str">
        <f>IFERROR(VLOOKUP(AT191,'Seguridad Información'!$I$61:$J$65,2,0),"")</f>
        <v/>
      </c>
      <c r="AV191" s="83"/>
      <c r="AW191" s="82" t="str">
        <f t="shared" si="24"/>
        <v/>
      </c>
      <c r="AX191" s="81" t="str">
        <f t="shared" si="34"/>
        <v/>
      </c>
      <c r="AY191" s="22" t="str">
        <f>IFERROR(VLOOKUP((CONCATENATE(AM191,AX191)),Listados!$U$3:$V$11,2,FALSE),"")</f>
        <v/>
      </c>
      <c r="AZ191" s="111">
        <f t="shared" si="35"/>
        <v>100</v>
      </c>
      <c r="BA191" s="717"/>
      <c r="BB191" s="761"/>
      <c r="BC191" s="142">
        <f>+IF(AND(W191="Preventivo",BB187="Fuerte"),2,IF(AND(W191="Preventivo",BB187="Moderado"),1,0))</f>
        <v>0</v>
      </c>
      <c r="BD191" s="68">
        <f>+IF(AND(W191="Detectivo/Correctivo",$BB187="Fuerte"),2,IF(AND(W191="Detectivo/Correctivo",$BB191="Moderado"),1,IF(AND(W191="Preventivo",$BB187="Fuerte"),1,0)))</f>
        <v>0</v>
      </c>
      <c r="BE191" s="142" t="e">
        <f>+N187-BC191</f>
        <v>#N/A</v>
      </c>
      <c r="BF191" s="142" t="e">
        <f>+P187-BD191</f>
        <v>#N/A</v>
      </c>
      <c r="BG191" s="713"/>
      <c r="BH191" s="713"/>
      <c r="BI191" s="713"/>
      <c r="BJ191" s="803"/>
      <c r="BK191" s="803"/>
      <c r="BL191" s="803"/>
      <c r="BM191" s="803"/>
    </row>
    <row r="192" spans="1:65" ht="65.150000000000006" customHeight="1" thickBot="1">
      <c r="A192" s="725"/>
      <c r="B192" s="812"/>
      <c r="C192" s="731"/>
      <c r="D192" s="113"/>
      <c r="E192" s="113"/>
      <c r="F192" s="815"/>
      <c r="G192" s="781"/>
      <c r="H192" s="105"/>
      <c r="I192" s="161"/>
      <c r="J192" s="105"/>
      <c r="K192" s="30"/>
      <c r="L192" s="150"/>
      <c r="M192" s="727"/>
      <c r="N192" s="721"/>
      <c r="O192" s="810"/>
      <c r="P192" s="721"/>
      <c r="Q192" s="715"/>
      <c r="R192" s="714"/>
      <c r="S192" s="140"/>
      <c r="T192" s="102"/>
      <c r="U192" s="52" t="s">
        <v>467</v>
      </c>
      <c r="V192" s="145"/>
      <c r="W192" s="145"/>
      <c r="X192" s="145"/>
      <c r="Y192" s="99" t="str">
        <f t="shared" si="25"/>
        <v/>
      </c>
      <c r="Z192" s="145"/>
      <c r="AA192" s="99" t="str">
        <f t="shared" si="26"/>
        <v/>
      </c>
      <c r="AB192" s="140"/>
      <c r="AC192" s="99" t="str">
        <f t="shared" si="27"/>
        <v/>
      </c>
      <c r="AD192" s="140"/>
      <c r="AE192" s="99" t="str">
        <f t="shared" si="28"/>
        <v/>
      </c>
      <c r="AF192" s="140"/>
      <c r="AG192" s="99" t="str">
        <f t="shared" si="29"/>
        <v/>
      </c>
      <c r="AH192" s="140"/>
      <c r="AI192" s="99" t="str">
        <f t="shared" si="30"/>
        <v/>
      </c>
      <c r="AJ192" s="140"/>
      <c r="AK192" s="28" t="str">
        <f t="shared" si="31"/>
        <v/>
      </c>
      <c r="AL192" s="111" t="str">
        <f t="shared" si="32"/>
        <v/>
      </c>
      <c r="AM192" s="111" t="str">
        <f t="shared" si="33"/>
        <v/>
      </c>
      <c r="AN192" s="178"/>
      <c r="AO192" s="178"/>
      <c r="AP192" s="178"/>
      <c r="AQ192" s="178"/>
      <c r="AR192" s="178"/>
      <c r="AS192" s="178"/>
      <c r="AT192" s="178"/>
      <c r="AU192" s="179" t="str">
        <f>IFERROR(VLOOKUP(AT192,'Seguridad Información'!$I$61:$J$65,2,0),"")</f>
        <v/>
      </c>
      <c r="AV192" s="83"/>
      <c r="AW192" s="82" t="str">
        <f t="shared" si="24"/>
        <v/>
      </c>
      <c r="AX192" s="81" t="str">
        <f t="shared" si="34"/>
        <v/>
      </c>
      <c r="AY192" s="22" t="str">
        <f>IFERROR(VLOOKUP((CONCATENATE(AM192,AX192)),Listados!$U$3:$V$11,2,FALSE),"")</f>
        <v/>
      </c>
      <c r="AZ192" s="111">
        <f t="shared" si="35"/>
        <v>100</v>
      </c>
      <c r="BA192" s="718"/>
      <c r="BB192" s="761"/>
      <c r="BC192" s="142">
        <f>+IF(AND(W192="Preventivo",BB187="Fuerte"),2,IF(AND(W192="Preventivo",BB187="Moderado"),1,0))</f>
        <v>0</v>
      </c>
      <c r="BD192" s="68">
        <f>+IF(AND(W192="Detectivo/Correctivo",$BB187="Fuerte"),2,IF(AND(W192="Detectivo/Correctivo",$BB192="Moderado"),1,IF(AND(W192="Preventivo",$BB187="Fuerte"),1,0)))</f>
        <v>0</v>
      </c>
      <c r="BE192" s="142" t="e">
        <f>+N187-BC192</f>
        <v>#N/A</v>
      </c>
      <c r="BF192" s="142" t="e">
        <f>+P187-BD192</f>
        <v>#N/A</v>
      </c>
      <c r="BG192" s="714"/>
      <c r="BH192" s="714"/>
      <c r="BI192" s="714"/>
      <c r="BJ192" s="804"/>
      <c r="BK192" s="804"/>
      <c r="BL192" s="804"/>
      <c r="BM192" s="804"/>
    </row>
    <row r="193" spans="1:65" ht="65.150000000000006" customHeight="1" thickBot="1">
      <c r="A193" s="723">
        <v>32</v>
      </c>
      <c r="B193" s="811"/>
      <c r="C193" s="729" t="str">
        <f>IFERROR(VLOOKUP(B193,Listados!B$3:C$20,2,FALSE),"")</f>
        <v/>
      </c>
      <c r="D193" s="114"/>
      <c r="E193" s="114"/>
      <c r="F193" s="813"/>
      <c r="G193" s="735"/>
      <c r="H193" s="105"/>
      <c r="I193" s="161"/>
      <c r="J193" s="105"/>
      <c r="K193" s="109"/>
      <c r="L193" s="18"/>
      <c r="M193" s="762"/>
      <c r="N193" s="719" t="e">
        <f>+VLOOKUP(M193,Listados!$K$8:$L$12,2,0)</f>
        <v>#N/A</v>
      </c>
      <c r="O193" s="809"/>
      <c r="P193" s="719" t="e">
        <f>+VLOOKUP(O193,Listados!$K$13:$L$17,2,0)</f>
        <v>#N/A</v>
      </c>
      <c r="Q193" s="714" t="str">
        <f>IF(AND(M193&lt;&gt;"",O193&lt;&gt;""),VLOOKUP(M193&amp;O193,Listados!$M$3:$N$27,2,FALSE),"")</f>
        <v/>
      </c>
      <c r="R193" s="712" t="e">
        <f>+VLOOKUP(Q193,Listados!$P$3:$Q$6,2,FALSE)</f>
        <v>#N/A</v>
      </c>
      <c r="S193" s="140"/>
      <c r="T193" s="98"/>
      <c r="U193" s="52" t="s">
        <v>467</v>
      </c>
      <c r="V193" s="145"/>
      <c r="W193" s="145"/>
      <c r="X193" s="145"/>
      <c r="Y193" s="99" t="str">
        <f t="shared" si="25"/>
        <v/>
      </c>
      <c r="Z193" s="145"/>
      <c r="AA193" s="99" t="str">
        <f t="shared" si="26"/>
        <v/>
      </c>
      <c r="AB193" s="140"/>
      <c r="AC193" s="99" t="str">
        <f t="shared" si="27"/>
        <v/>
      </c>
      <c r="AD193" s="140"/>
      <c r="AE193" s="99" t="str">
        <f t="shared" si="28"/>
        <v/>
      </c>
      <c r="AF193" s="140"/>
      <c r="AG193" s="99" t="str">
        <f t="shared" si="29"/>
        <v/>
      </c>
      <c r="AH193" s="140"/>
      <c r="AI193" s="99" t="str">
        <f t="shared" si="30"/>
        <v/>
      </c>
      <c r="AJ193" s="140"/>
      <c r="AK193" s="28" t="str">
        <f t="shared" si="31"/>
        <v/>
      </c>
      <c r="AL193" s="111" t="str">
        <f t="shared" si="32"/>
        <v/>
      </c>
      <c r="AM193" s="111" t="str">
        <f t="shared" si="33"/>
        <v/>
      </c>
      <c r="AN193" s="178"/>
      <c r="AO193" s="178"/>
      <c r="AP193" s="178"/>
      <c r="AQ193" s="178"/>
      <c r="AR193" s="178"/>
      <c r="AS193" s="178"/>
      <c r="AT193" s="178"/>
      <c r="AU193" s="179" t="str">
        <f>IFERROR(VLOOKUP(AT193,'Seguridad Información'!$I$61:$J$65,2,0),"")</f>
        <v/>
      </c>
      <c r="AV193" s="83"/>
      <c r="AW193" s="82" t="str">
        <f t="shared" si="24"/>
        <v/>
      </c>
      <c r="AX193" s="81" t="str">
        <f t="shared" si="34"/>
        <v/>
      </c>
      <c r="AY193" s="22" t="str">
        <f>IFERROR(VLOOKUP((CONCATENATE(AM193,AX193)),Listados!$U$3:$V$11,2,FALSE),"")</f>
        <v/>
      </c>
      <c r="AZ193" s="111">
        <f t="shared" si="35"/>
        <v>100</v>
      </c>
      <c r="BA193" s="716">
        <f>AVERAGE(AZ193:AZ198)</f>
        <v>100</v>
      </c>
      <c r="BB193" s="718" t="str">
        <f>IF(BA193&lt;=50, "Débil", IF(BA193&lt;=99,"Moderado","Fuerte"))</f>
        <v>Fuerte</v>
      </c>
      <c r="BC193" s="142">
        <f>+IF(AND(W193="Preventivo",BB193="Fuerte"),2,IF(AND(W193="Preventivo",BB193="Moderado"),1,0))</f>
        <v>0</v>
      </c>
      <c r="BD193" s="68">
        <f>+IF(AND(W193="Detectivo/Correctivo",$BB193="Fuerte"),2,IF(AND(W193="Detectivo/Correctivo",$BB193="Moderado"),1,IF(AND(W193="Preventivo",$BB193="Fuerte"),1,0)))</f>
        <v>0</v>
      </c>
      <c r="BE193" s="142" t="e">
        <f>+N193-BC193</f>
        <v>#N/A</v>
      </c>
      <c r="BF193" s="142" t="e">
        <f>+P193-BD193</f>
        <v>#N/A</v>
      </c>
      <c r="BG193" s="712" t="e">
        <f>+VLOOKUP(MIN(BE193,BE194,BE195,BE196,BE197,BE198),Listados!$J$18:$K$24,2,TRUE)</f>
        <v>#N/A</v>
      </c>
      <c r="BH193" s="712" t="e">
        <f>+VLOOKUP(MIN(BF193,BF194,BF195,BF196,BF197,BF198),Listados!$J$27:$K$32,2,TRUE)</f>
        <v>#N/A</v>
      </c>
      <c r="BI193" s="712" t="e">
        <f>IF(AND(BG193&lt;&gt;"",BH193&lt;&gt;""),VLOOKUP(BG193&amp;BH193,Listados!$M$3:$N$27,2,FALSE),"")</f>
        <v>#N/A</v>
      </c>
      <c r="BJ193" s="802" t="e">
        <f>+IF($R193="Asumir el riesgo","NA","")</f>
        <v>#N/A</v>
      </c>
      <c r="BK193" s="802" t="e">
        <f>+IF($R193="Asumir el riesgo","NA","")</f>
        <v>#N/A</v>
      </c>
      <c r="BL193" s="802" t="e">
        <f>+IF($R193="Asumir el riesgo","NA","")</f>
        <v>#N/A</v>
      </c>
      <c r="BM193" s="802" t="e">
        <f>+IF($R193="Asumir el riesgo","NA","")</f>
        <v>#N/A</v>
      </c>
    </row>
    <row r="194" spans="1:65" ht="65.150000000000006" customHeight="1" thickBot="1">
      <c r="A194" s="724"/>
      <c r="B194" s="812"/>
      <c r="C194" s="730"/>
      <c r="D194" s="158"/>
      <c r="E194" s="158"/>
      <c r="F194" s="814"/>
      <c r="G194" s="736"/>
      <c r="H194" s="105"/>
      <c r="I194" s="161"/>
      <c r="J194" s="105"/>
      <c r="K194" s="160"/>
      <c r="L194" s="150"/>
      <c r="M194" s="727"/>
      <c r="N194" s="720"/>
      <c r="O194" s="810"/>
      <c r="P194" s="720"/>
      <c r="Q194" s="715"/>
      <c r="R194" s="713"/>
      <c r="S194" s="140"/>
      <c r="T194" s="180"/>
      <c r="U194" s="52" t="s">
        <v>467</v>
      </c>
      <c r="V194" s="145"/>
      <c r="W194" s="145"/>
      <c r="X194" s="145"/>
      <c r="Y194" s="99" t="str">
        <f t="shared" si="25"/>
        <v/>
      </c>
      <c r="Z194" s="145"/>
      <c r="AA194" s="99" t="str">
        <f t="shared" si="26"/>
        <v/>
      </c>
      <c r="AB194" s="140"/>
      <c r="AC194" s="99" t="str">
        <f t="shared" si="27"/>
        <v/>
      </c>
      <c r="AD194" s="140"/>
      <c r="AE194" s="99" t="str">
        <f t="shared" si="28"/>
        <v/>
      </c>
      <c r="AF194" s="140"/>
      <c r="AG194" s="99" t="str">
        <f t="shared" si="29"/>
        <v/>
      </c>
      <c r="AH194" s="140"/>
      <c r="AI194" s="99" t="str">
        <f t="shared" si="30"/>
        <v/>
      </c>
      <c r="AJ194" s="140"/>
      <c r="AK194" s="28" t="str">
        <f t="shared" si="31"/>
        <v/>
      </c>
      <c r="AL194" s="111" t="str">
        <f t="shared" si="32"/>
        <v/>
      </c>
      <c r="AM194" s="111" t="str">
        <f t="shared" si="33"/>
        <v/>
      </c>
      <c r="AN194" s="178"/>
      <c r="AO194" s="178"/>
      <c r="AP194" s="178"/>
      <c r="AQ194" s="178"/>
      <c r="AR194" s="178"/>
      <c r="AS194" s="178"/>
      <c r="AT194" s="178"/>
      <c r="AU194" s="179" t="str">
        <f>IFERROR(VLOOKUP(AT194,'Seguridad Información'!$I$61:$J$65,2,0),"")</f>
        <v/>
      </c>
      <c r="AV194" s="83"/>
      <c r="AW194" s="82" t="str">
        <f t="shared" si="24"/>
        <v/>
      </c>
      <c r="AX194" s="81" t="str">
        <f t="shared" si="34"/>
        <v/>
      </c>
      <c r="AY194" s="22" t="str">
        <f>IFERROR(VLOOKUP((CONCATENATE(AM194,AX194)),Listados!$U$3:$V$11,2,FALSE),"")</f>
        <v/>
      </c>
      <c r="AZ194" s="111">
        <f t="shared" si="35"/>
        <v>100</v>
      </c>
      <c r="BA194" s="717"/>
      <c r="BB194" s="761"/>
      <c r="BC194" s="142">
        <f>+IF(AND(W194="Preventivo",BB193="Fuerte"),2,IF(AND(W194="Preventivo",BB193="Moderado"),1,0))</f>
        <v>0</v>
      </c>
      <c r="BD194" s="68">
        <f>+IF(AND(W194="Detectivo/Correctivo",$BB193="Fuerte"),2,IF(AND(W194="Detectivo/Correctivo",$BB194="Moderado"),1,IF(AND(W194="Preventivo",$BB193="Fuerte"),1,0)))</f>
        <v>0</v>
      </c>
      <c r="BE194" s="142" t="e">
        <f>+N193-BC194</f>
        <v>#N/A</v>
      </c>
      <c r="BF194" s="142" t="e">
        <f>+P193-BD194</f>
        <v>#N/A</v>
      </c>
      <c r="BG194" s="713"/>
      <c r="BH194" s="713"/>
      <c r="BI194" s="713"/>
      <c r="BJ194" s="803"/>
      <c r="BK194" s="803"/>
      <c r="BL194" s="803"/>
      <c r="BM194" s="803"/>
    </row>
    <row r="195" spans="1:65" ht="65.150000000000006" customHeight="1" thickBot="1">
      <c r="A195" s="724"/>
      <c r="B195" s="812"/>
      <c r="C195" s="730"/>
      <c r="D195" s="158"/>
      <c r="E195" s="158"/>
      <c r="F195" s="814"/>
      <c r="G195" s="736"/>
      <c r="H195" s="105"/>
      <c r="I195" s="161"/>
      <c r="J195" s="105"/>
      <c r="K195" s="160"/>
      <c r="L195" s="150"/>
      <c r="M195" s="727"/>
      <c r="N195" s="720"/>
      <c r="O195" s="810"/>
      <c r="P195" s="720"/>
      <c r="Q195" s="715"/>
      <c r="R195" s="713"/>
      <c r="S195" s="140"/>
      <c r="T195" s="100"/>
      <c r="U195" s="52" t="s">
        <v>467</v>
      </c>
      <c r="V195" s="145"/>
      <c r="W195" s="145"/>
      <c r="X195" s="145"/>
      <c r="Y195" s="99" t="str">
        <f t="shared" si="25"/>
        <v/>
      </c>
      <c r="Z195" s="145"/>
      <c r="AA195" s="99" t="str">
        <f t="shared" si="26"/>
        <v/>
      </c>
      <c r="AB195" s="140"/>
      <c r="AC195" s="99" t="str">
        <f t="shared" si="27"/>
        <v/>
      </c>
      <c r="AD195" s="140"/>
      <c r="AE195" s="99" t="str">
        <f t="shared" si="28"/>
        <v/>
      </c>
      <c r="AF195" s="140"/>
      <c r="AG195" s="99" t="str">
        <f t="shared" si="29"/>
        <v/>
      </c>
      <c r="AH195" s="140"/>
      <c r="AI195" s="99" t="str">
        <f t="shared" si="30"/>
        <v/>
      </c>
      <c r="AJ195" s="140"/>
      <c r="AK195" s="28" t="str">
        <f t="shared" si="31"/>
        <v/>
      </c>
      <c r="AL195" s="111" t="str">
        <f t="shared" si="32"/>
        <v/>
      </c>
      <c r="AM195" s="111" t="str">
        <f t="shared" si="33"/>
        <v/>
      </c>
      <c r="AN195" s="178"/>
      <c r="AO195" s="178"/>
      <c r="AP195" s="178"/>
      <c r="AQ195" s="178"/>
      <c r="AR195" s="178"/>
      <c r="AS195" s="178"/>
      <c r="AT195" s="178"/>
      <c r="AU195" s="179" t="str">
        <f>IFERROR(VLOOKUP(AT195,'Seguridad Información'!$I$61:$J$65,2,0),"")</f>
        <v/>
      </c>
      <c r="AV195" s="83"/>
      <c r="AW195" s="82" t="str">
        <f t="shared" si="24"/>
        <v/>
      </c>
      <c r="AX195" s="81" t="str">
        <f t="shared" si="34"/>
        <v/>
      </c>
      <c r="AY195" s="22" t="str">
        <f>IFERROR(VLOOKUP((CONCATENATE(AM195,AX195)),Listados!$U$3:$V$11,2,FALSE),"")</f>
        <v/>
      </c>
      <c r="AZ195" s="111">
        <f t="shared" si="35"/>
        <v>100</v>
      </c>
      <c r="BA195" s="717"/>
      <c r="BB195" s="761"/>
      <c r="BC195" s="142">
        <f>+IF(AND(W195="Preventivo",BB193="Fuerte"),2,IF(AND(W195="Preventivo",BB193="Moderado"),1,0))</f>
        <v>0</v>
      </c>
      <c r="BD195" s="68">
        <f>+IF(AND(W195="Detectivo/Correctivo",$BB193="Fuerte"),2,IF(AND(W195="Detectivo/Correctivo",$BB195="Moderado"),1,IF(AND(W195="Preventivo",$BB193="Fuerte"),1,0)))</f>
        <v>0</v>
      </c>
      <c r="BE195" s="142" t="e">
        <f>+N193-BC195</f>
        <v>#N/A</v>
      </c>
      <c r="BF195" s="142" t="e">
        <f>+P193-BD195</f>
        <v>#N/A</v>
      </c>
      <c r="BG195" s="713"/>
      <c r="BH195" s="713"/>
      <c r="BI195" s="713"/>
      <c r="BJ195" s="803"/>
      <c r="BK195" s="803"/>
      <c r="BL195" s="803"/>
      <c r="BM195" s="803"/>
    </row>
    <row r="196" spans="1:65" ht="65.150000000000006" customHeight="1" thickBot="1">
      <c r="A196" s="724"/>
      <c r="B196" s="812"/>
      <c r="C196" s="730"/>
      <c r="D196" s="158"/>
      <c r="E196" s="158"/>
      <c r="F196" s="814"/>
      <c r="G196" s="736"/>
      <c r="H196" s="105"/>
      <c r="I196" s="161"/>
      <c r="J196" s="105"/>
      <c r="K196" s="160"/>
      <c r="L196" s="150"/>
      <c r="M196" s="727"/>
      <c r="N196" s="720"/>
      <c r="O196" s="810"/>
      <c r="P196" s="720"/>
      <c r="Q196" s="715"/>
      <c r="R196" s="713"/>
      <c r="S196" s="140"/>
      <c r="T196" s="101"/>
      <c r="U196" s="52" t="s">
        <v>467</v>
      </c>
      <c r="V196" s="145"/>
      <c r="W196" s="145"/>
      <c r="X196" s="145"/>
      <c r="Y196" s="99" t="str">
        <f t="shared" si="25"/>
        <v/>
      </c>
      <c r="Z196" s="145"/>
      <c r="AA196" s="99" t="str">
        <f t="shared" si="26"/>
        <v/>
      </c>
      <c r="AB196" s="140"/>
      <c r="AC196" s="99" t="str">
        <f t="shared" si="27"/>
        <v/>
      </c>
      <c r="AD196" s="140"/>
      <c r="AE196" s="99" t="str">
        <f t="shared" si="28"/>
        <v/>
      </c>
      <c r="AF196" s="140"/>
      <c r="AG196" s="99" t="str">
        <f t="shared" si="29"/>
        <v/>
      </c>
      <c r="AH196" s="140"/>
      <c r="AI196" s="99" t="str">
        <f t="shared" si="30"/>
        <v/>
      </c>
      <c r="AJ196" s="140"/>
      <c r="AK196" s="28" t="str">
        <f t="shared" si="31"/>
        <v/>
      </c>
      <c r="AL196" s="111" t="str">
        <f t="shared" si="32"/>
        <v/>
      </c>
      <c r="AM196" s="111" t="str">
        <f t="shared" si="33"/>
        <v/>
      </c>
      <c r="AN196" s="178"/>
      <c r="AO196" s="178"/>
      <c r="AP196" s="178"/>
      <c r="AQ196" s="178"/>
      <c r="AR196" s="178"/>
      <c r="AS196" s="178"/>
      <c r="AT196" s="178"/>
      <c r="AU196" s="179" t="str">
        <f>IFERROR(VLOOKUP(AT196,'Seguridad Información'!$I$61:$J$65,2,0),"")</f>
        <v/>
      </c>
      <c r="AV196" s="83"/>
      <c r="AW196" s="82" t="str">
        <f t="shared" si="24"/>
        <v/>
      </c>
      <c r="AX196" s="81" t="str">
        <f t="shared" si="34"/>
        <v/>
      </c>
      <c r="AY196" s="22" t="str">
        <f>IFERROR(VLOOKUP((CONCATENATE(AM196,AX196)),Listados!$U$3:$V$11,2,FALSE),"")</f>
        <v/>
      </c>
      <c r="AZ196" s="111">
        <f t="shared" si="35"/>
        <v>100</v>
      </c>
      <c r="BA196" s="717"/>
      <c r="BB196" s="761"/>
      <c r="BC196" s="142">
        <f>+IF(AND(W196="Preventivo",BB193="Fuerte"),2,IF(AND(W196="Preventivo",BB193="Moderado"),1,0))</f>
        <v>0</v>
      </c>
      <c r="BD196" s="68">
        <f>+IF(AND(W196="Detectivo/Correctivo",$BB193="Fuerte"),2,IF(AND(W196="Detectivo/Correctivo",$BB196="Moderado"),1,IF(AND(W196="Preventivo",$BB193="Fuerte"),1,0)))</f>
        <v>0</v>
      </c>
      <c r="BE196" s="142" t="e">
        <f>+N193-BC196</f>
        <v>#N/A</v>
      </c>
      <c r="BF196" s="142" t="e">
        <f>+P193-BD196</f>
        <v>#N/A</v>
      </c>
      <c r="BG196" s="713"/>
      <c r="BH196" s="713"/>
      <c r="BI196" s="713"/>
      <c r="BJ196" s="803"/>
      <c r="BK196" s="803"/>
      <c r="BL196" s="803"/>
      <c r="BM196" s="803"/>
    </row>
    <row r="197" spans="1:65" ht="65.150000000000006" customHeight="1" thickBot="1">
      <c r="A197" s="724"/>
      <c r="B197" s="812"/>
      <c r="C197" s="730"/>
      <c r="D197" s="116"/>
      <c r="E197" s="116"/>
      <c r="F197" s="814"/>
      <c r="G197" s="736"/>
      <c r="H197" s="105"/>
      <c r="I197" s="161"/>
      <c r="J197" s="105"/>
      <c r="K197" s="29"/>
      <c r="L197" s="150"/>
      <c r="M197" s="727"/>
      <c r="N197" s="720"/>
      <c r="O197" s="810"/>
      <c r="P197" s="720"/>
      <c r="Q197" s="715"/>
      <c r="R197" s="713"/>
      <c r="S197" s="140"/>
      <c r="T197" s="180"/>
      <c r="U197" s="52" t="s">
        <v>467</v>
      </c>
      <c r="V197" s="145"/>
      <c r="W197" s="145"/>
      <c r="X197" s="145"/>
      <c r="Y197" s="99" t="str">
        <f t="shared" si="25"/>
        <v/>
      </c>
      <c r="Z197" s="145"/>
      <c r="AA197" s="99" t="str">
        <f t="shared" si="26"/>
        <v/>
      </c>
      <c r="AB197" s="140"/>
      <c r="AC197" s="99" t="str">
        <f t="shared" si="27"/>
        <v/>
      </c>
      <c r="AD197" s="140"/>
      <c r="AE197" s="99" t="str">
        <f t="shared" si="28"/>
        <v/>
      </c>
      <c r="AF197" s="140"/>
      <c r="AG197" s="99" t="str">
        <f t="shared" si="29"/>
        <v/>
      </c>
      <c r="AH197" s="140"/>
      <c r="AI197" s="99" t="str">
        <f t="shared" si="30"/>
        <v/>
      </c>
      <c r="AJ197" s="140"/>
      <c r="AK197" s="28" t="str">
        <f t="shared" si="31"/>
        <v/>
      </c>
      <c r="AL197" s="111" t="str">
        <f t="shared" si="32"/>
        <v/>
      </c>
      <c r="AM197" s="111" t="str">
        <f t="shared" si="33"/>
        <v/>
      </c>
      <c r="AN197" s="178"/>
      <c r="AO197" s="178"/>
      <c r="AP197" s="178"/>
      <c r="AQ197" s="178"/>
      <c r="AR197" s="178"/>
      <c r="AS197" s="178"/>
      <c r="AT197" s="178"/>
      <c r="AU197" s="179" t="str">
        <f>IFERROR(VLOOKUP(AT197,'Seguridad Información'!$I$61:$J$65,2,0),"")</f>
        <v/>
      </c>
      <c r="AV197" s="83"/>
      <c r="AW197" s="82" t="str">
        <f t="shared" si="24"/>
        <v/>
      </c>
      <c r="AX197" s="81" t="str">
        <f t="shared" si="34"/>
        <v/>
      </c>
      <c r="AY197" s="22" t="str">
        <f>IFERROR(VLOOKUP((CONCATENATE(AM197,AX197)),Listados!$U$3:$V$11,2,FALSE),"")</f>
        <v/>
      </c>
      <c r="AZ197" s="111">
        <f t="shared" si="35"/>
        <v>100</v>
      </c>
      <c r="BA197" s="717"/>
      <c r="BB197" s="761"/>
      <c r="BC197" s="142">
        <f>+IF(AND(W197="Preventivo",BB193="Fuerte"),2,IF(AND(W197="Preventivo",BB193="Moderado"),1,0))</f>
        <v>0</v>
      </c>
      <c r="BD197" s="68">
        <f>+IF(AND(W197="Detectivo/Correctivo",$BB193="Fuerte"),2,IF(AND(W197="Detectivo/Correctivo",$BB197="Moderado"),1,IF(AND(W197="Preventivo",$BB193="Fuerte"),1,0)))</f>
        <v>0</v>
      </c>
      <c r="BE197" s="142" t="e">
        <f>+N193-BC197</f>
        <v>#N/A</v>
      </c>
      <c r="BF197" s="142" t="e">
        <f>+P193-BD197</f>
        <v>#N/A</v>
      </c>
      <c r="BG197" s="713"/>
      <c r="BH197" s="713"/>
      <c r="BI197" s="713"/>
      <c r="BJ197" s="803"/>
      <c r="BK197" s="803"/>
      <c r="BL197" s="803"/>
      <c r="BM197" s="803"/>
    </row>
    <row r="198" spans="1:65" ht="65.150000000000006" customHeight="1" thickBot="1">
      <c r="A198" s="725"/>
      <c r="B198" s="812"/>
      <c r="C198" s="731"/>
      <c r="D198" s="113"/>
      <c r="E198" s="113"/>
      <c r="F198" s="815"/>
      <c r="G198" s="781"/>
      <c r="H198" s="105"/>
      <c r="I198" s="161"/>
      <c r="J198" s="105"/>
      <c r="K198" s="30"/>
      <c r="L198" s="150"/>
      <c r="M198" s="727"/>
      <c r="N198" s="721"/>
      <c r="O198" s="810"/>
      <c r="P198" s="721"/>
      <c r="Q198" s="715"/>
      <c r="R198" s="714"/>
      <c r="S198" s="140"/>
      <c r="T198" s="102"/>
      <c r="U198" s="52" t="s">
        <v>467</v>
      </c>
      <c r="V198" s="145"/>
      <c r="W198" s="145"/>
      <c r="X198" s="145"/>
      <c r="Y198" s="99" t="str">
        <f t="shared" si="25"/>
        <v/>
      </c>
      <c r="Z198" s="145"/>
      <c r="AA198" s="99" t="str">
        <f t="shared" si="26"/>
        <v/>
      </c>
      <c r="AB198" s="140"/>
      <c r="AC198" s="99" t="str">
        <f t="shared" si="27"/>
        <v/>
      </c>
      <c r="AD198" s="140"/>
      <c r="AE198" s="99" t="str">
        <f t="shared" si="28"/>
        <v/>
      </c>
      <c r="AF198" s="140"/>
      <c r="AG198" s="99" t="str">
        <f t="shared" si="29"/>
        <v/>
      </c>
      <c r="AH198" s="140"/>
      <c r="AI198" s="99" t="str">
        <f t="shared" si="30"/>
        <v/>
      </c>
      <c r="AJ198" s="140"/>
      <c r="AK198" s="28" t="str">
        <f t="shared" si="31"/>
        <v/>
      </c>
      <c r="AL198" s="111" t="str">
        <f t="shared" si="32"/>
        <v/>
      </c>
      <c r="AM198" s="111" t="str">
        <f t="shared" si="33"/>
        <v/>
      </c>
      <c r="AN198" s="178"/>
      <c r="AO198" s="178"/>
      <c r="AP198" s="178"/>
      <c r="AQ198" s="178"/>
      <c r="AR198" s="178"/>
      <c r="AS198" s="178"/>
      <c r="AT198" s="178"/>
      <c r="AU198" s="179" t="str">
        <f>IFERROR(VLOOKUP(AT198,'Seguridad Información'!$I$61:$J$65,2,0),"")</f>
        <v/>
      </c>
      <c r="AV198" s="83"/>
      <c r="AW198" s="82" t="str">
        <f t="shared" si="24"/>
        <v/>
      </c>
      <c r="AX198" s="81" t="str">
        <f t="shared" si="34"/>
        <v/>
      </c>
      <c r="AY198" s="22" t="str">
        <f>IFERROR(VLOOKUP((CONCATENATE(AM198,AX198)),Listados!$U$3:$V$11,2,FALSE),"")</f>
        <v/>
      </c>
      <c r="AZ198" s="111">
        <f t="shared" si="35"/>
        <v>100</v>
      </c>
      <c r="BA198" s="718"/>
      <c r="BB198" s="761"/>
      <c r="BC198" s="142">
        <f>+IF(AND(W198="Preventivo",BB193="Fuerte"),2,IF(AND(W198="Preventivo",BB193="Moderado"),1,0))</f>
        <v>0</v>
      </c>
      <c r="BD198" s="68">
        <f>+IF(AND(W198="Detectivo/Correctivo",$BB193="Fuerte"),2,IF(AND(W198="Detectivo/Correctivo",$BB198="Moderado"),1,IF(AND(W198="Preventivo",$BB193="Fuerte"),1,0)))</f>
        <v>0</v>
      </c>
      <c r="BE198" s="142" t="e">
        <f>+N193-BC198</f>
        <v>#N/A</v>
      </c>
      <c r="BF198" s="142" t="e">
        <f>+P193-BD198</f>
        <v>#N/A</v>
      </c>
      <c r="BG198" s="714"/>
      <c r="BH198" s="714"/>
      <c r="BI198" s="714"/>
      <c r="BJ198" s="804"/>
      <c r="BK198" s="804"/>
      <c r="BL198" s="804"/>
      <c r="BM198" s="804"/>
    </row>
    <row r="199" spans="1:65" ht="65.150000000000006" customHeight="1" thickBot="1">
      <c r="A199" s="723">
        <v>33</v>
      </c>
      <c r="B199" s="811"/>
      <c r="C199" s="729" t="str">
        <f>IFERROR(VLOOKUP(B199,Listados!B$3:C$20,2,FALSE),"")</f>
        <v/>
      </c>
      <c r="D199" s="114"/>
      <c r="E199" s="114"/>
      <c r="F199" s="813"/>
      <c r="G199" s="735"/>
      <c r="H199" s="105"/>
      <c r="I199" s="161"/>
      <c r="J199" s="105"/>
      <c r="K199" s="109"/>
      <c r="L199" s="18"/>
      <c r="M199" s="762"/>
      <c r="N199" s="719" t="e">
        <f>+VLOOKUP(M199,Listados!$K$8:$L$12,2,0)</f>
        <v>#N/A</v>
      </c>
      <c r="O199" s="809"/>
      <c r="P199" s="719" t="e">
        <f>+VLOOKUP(O199,Listados!$K$13:$L$17,2,0)</f>
        <v>#N/A</v>
      </c>
      <c r="Q199" s="714" t="str">
        <f>IF(AND(M199&lt;&gt;"",O199&lt;&gt;""),VLOOKUP(M199&amp;O199,Listados!$M$3:$N$27,2,FALSE),"")</f>
        <v/>
      </c>
      <c r="R199" s="712" t="e">
        <f>+VLOOKUP(Q199,Listados!$P$3:$Q$6,2,FALSE)</f>
        <v>#N/A</v>
      </c>
      <c r="S199" s="140"/>
      <c r="T199" s="98"/>
      <c r="U199" s="52" t="s">
        <v>467</v>
      </c>
      <c r="V199" s="145"/>
      <c r="W199" s="145"/>
      <c r="X199" s="145"/>
      <c r="Y199" s="99" t="str">
        <f t="shared" si="25"/>
        <v/>
      </c>
      <c r="Z199" s="145"/>
      <c r="AA199" s="99" t="str">
        <f t="shared" si="26"/>
        <v/>
      </c>
      <c r="AB199" s="140"/>
      <c r="AC199" s="99" t="str">
        <f t="shared" si="27"/>
        <v/>
      </c>
      <c r="AD199" s="140"/>
      <c r="AE199" s="99" t="str">
        <f t="shared" si="28"/>
        <v/>
      </c>
      <c r="AF199" s="140"/>
      <c r="AG199" s="99" t="str">
        <f t="shared" si="29"/>
        <v/>
      </c>
      <c r="AH199" s="140"/>
      <c r="AI199" s="99" t="str">
        <f t="shared" si="30"/>
        <v/>
      </c>
      <c r="AJ199" s="140"/>
      <c r="AK199" s="28" t="str">
        <f t="shared" si="31"/>
        <v/>
      </c>
      <c r="AL199" s="111" t="str">
        <f t="shared" si="32"/>
        <v/>
      </c>
      <c r="AM199" s="111" t="str">
        <f t="shared" si="33"/>
        <v/>
      </c>
      <c r="AN199" s="178"/>
      <c r="AO199" s="178"/>
      <c r="AP199" s="178"/>
      <c r="AQ199" s="178"/>
      <c r="AR199" s="178"/>
      <c r="AS199" s="178"/>
      <c r="AT199" s="178"/>
      <c r="AU199" s="179" t="str">
        <f>IFERROR(VLOOKUP(AT199,'Seguridad Información'!$I$61:$J$65,2,0),"")</f>
        <v/>
      </c>
      <c r="AV199" s="83"/>
      <c r="AW199" s="82" t="str">
        <f t="shared" ref="AW199:AW262" si="36">IFERROR(AVERAGE(AO199,AQ199,AS199,AU199),"")</f>
        <v/>
      </c>
      <c r="AX199" s="81" t="str">
        <f t="shared" si="34"/>
        <v/>
      </c>
      <c r="AY199" s="22" t="str">
        <f>IFERROR(VLOOKUP((CONCATENATE(AM199,AX199)),Listados!$U$3:$V$11,2,FALSE),"")</f>
        <v/>
      </c>
      <c r="AZ199" s="111">
        <f t="shared" si="35"/>
        <v>100</v>
      </c>
      <c r="BA199" s="716">
        <f>AVERAGE(AZ199:AZ204)</f>
        <v>100</v>
      </c>
      <c r="BB199" s="718" t="str">
        <f>IF(BA199&lt;=50, "Débil", IF(BA199&lt;=99,"Moderado","Fuerte"))</f>
        <v>Fuerte</v>
      </c>
      <c r="BC199" s="142">
        <f>+IF(AND(W199="Preventivo",BB199="Fuerte"),2,IF(AND(W199="Preventivo",BB199="Moderado"),1,0))</f>
        <v>0</v>
      </c>
      <c r="BD199" s="68">
        <f>+IF(AND(W199="Detectivo/Correctivo",$BB199="Fuerte"),2,IF(AND(W199="Detectivo/Correctivo",$BB199="Moderado"),1,IF(AND(W199="Preventivo",$BB199="Fuerte"),1,0)))</f>
        <v>0</v>
      </c>
      <c r="BE199" s="142" t="e">
        <f>+N199-BC199</f>
        <v>#N/A</v>
      </c>
      <c r="BF199" s="142" t="e">
        <f>+P199-BD199</f>
        <v>#N/A</v>
      </c>
      <c r="BG199" s="712" t="e">
        <f>+VLOOKUP(MIN(BE199,BE200,BE201,BE202,BE203,BE204),Listados!$J$18:$K$24,2,TRUE)</f>
        <v>#N/A</v>
      </c>
      <c r="BH199" s="712" t="e">
        <f>+VLOOKUP(MIN(BF199,BF200,BF201,BF202,BF203,BF204),Listados!$J$27:$K$32,2,TRUE)</f>
        <v>#N/A</v>
      </c>
      <c r="BI199" s="712" t="e">
        <f>IF(AND(BG199&lt;&gt;"",BH199&lt;&gt;""),VLOOKUP(BG199&amp;BH199,Listados!$M$3:$N$27,2,FALSE),"")</f>
        <v>#N/A</v>
      </c>
      <c r="BJ199" s="802" t="e">
        <f>+IF($R199="Asumir el riesgo","NA","")</f>
        <v>#N/A</v>
      </c>
      <c r="BK199" s="802" t="e">
        <f>+IF($R199="Asumir el riesgo","NA","")</f>
        <v>#N/A</v>
      </c>
      <c r="BL199" s="802" t="e">
        <f>+IF($R199="Asumir el riesgo","NA","")</f>
        <v>#N/A</v>
      </c>
      <c r="BM199" s="802" t="e">
        <f>+IF($R199="Asumir el riesgo","NA","")</f>
        <v>#N/A</v>
      </c>
    </row>
    <row r="200" spans="1:65" ht="65.150000000000006" customHeight="1" thickBot="1">
      <c r="A200" s="724"/>
      <c r="B200" s="812"/>
      <c r="C200" s="730"/>
      <c r="D200" s="158"/>
      <c r="E200" s="158"/>
      <c r="F200" s="814"/>
      <c r="G200" s="736"/>
      <c r="H200" s="105"/>
      <c r="I200" s="161"/>
      <c r="J200" s="105"/>
      <c r="K200" s="160"/>
      <c r="L200" s="150"/>
      <c r="M200" s="727"/>
      <c r="N200" s="720"/>
      <c r="O200" s="810"/>
      <c r="P200" s="720"/>
      <c r="Q200" s="715"/>
      <c r="R200" s="713"/>
      <c r="S200" s="140"/>
      <c r="T200" s="180"/>
      <c r="U200" s="52" t="s">
        <v>467</v>
      </c>
      <c r="V200" s="145"/>
      <c r="W200" s="145"/>
      <c r="X200" s="145"/>
      <c r="Y200" s="99" t="str">
        <f t="shared" ref="Y200:Y263" si="37">+IF(X200="si",15,"")</f>
        <v/>
      </c>
      <c r="Z200" s="145"/>
      <c r="AA200" s="99" t="str">
        <f t="shared" ref="AA200:AA263" si="38">+IF(Z200="si",15,"")</f>
        <v/>
      </c>
      <c r="AB200" s="140"/>
      <c r="AC200" s="99" t="str">
        <f t="shared" ref="AC200:AC263" si="39">+IF(AB200="si",15,"")</f>
        <v/>
      </c>
      <c r="AD200" s="140"/>
      <c r="AE200" s="99" t="str">
        <f t="shared" ref="AE200:AE263" si="40">+IF(AD200="si",15,"")</f>
        <v/>
      </c>
      <c r="AF200" s="140"/>
      <c r="AG200" s="99" t="str">
        <f t="shared" ref="AG200:AG263" si="41">+IF(AF200="si",15,"")</f>
        <v/>
      </c>
      <c r="AH200" s="140"/>
      <c r="AI200" s="99" t="str">
        <f t="shared" ref="AI200:AI263" si="42">+IF(AH200="si",15,"")</f>
        <v/>
      </c>
      <c r="AJ200" s="140"/>
      <c r="AK200" s="28" t="str">
        <f t="shared" ref="AK200:AK263" si="43">+IF(AJ200="Completa",10,IF(AJ200="Incompleta",5,""))</f>
        <v/>
      </c>
      <c r="AL200" s="111" t="str">
        <f t="shared" ref="AL200:AL263" si="44">IF((SUM(Y200,AA200,AC200,AE200,AG200,AI200,AK200)=0),"",(SUM(Y200,AA200,AC200,AE200,AG200,AI200,AK200)))</f>
        <v/>
      </c>
      <c r="AM200" s="111" t="str">
        <f t="shared" ref="AM200:AM263" si="45">IF(AL200&lt;=85,"Débil",IF(AL200&lt;=95,"Moderado",IF(AL200=100,"Fuerte","")))</f>
        <v/>
      </c>
      <c r="AN200" s="178"/>
      <c r="AO200" s="178"/>
      <c r="AP200" s="178"/>
      <c r="AQ200" s="178"/>
      <c r="AR200" s="178"/>
      <c r="AS200" s="178"/>
      <c r="AT200" s="178"/>
      <c r="AU200" s="179" t="str">
        <f>IFERROR(VLOOKUP(AT200,'Seguridad Información'!$I$61:$J$65,2,0),"")</f>
        <v/>
      </c>
      <c r="AV200" s="83"/>
      <c r="AW200" s="82" t="str">
        <f t="shared" si="36"/>
        <v/>
      </c>
      <c r="AX200" s="81" t="str">
        <f t="shared" ref="AX200:AX263" si="46">IF(AW200&lt;=80,"Débil",IF(AW200&lt;=90,"Moderado",IF(AW200=100,"Fuerte","")))</f>
        <v/>
      </c>
      <c r="AY200" s="22" t="str">
        <f>IFERROR(VLOOKUP((CONCATENATE(AM200,AX200)),Listados!$U$3:$V$11,2,FALSE),"")</f>
        <v/>
      </c>
      <c r="AZ200" s="111">
        <f t="shared" si="35"/>
        <v>100</v>
      </c>
      <c r="BA200" s="717"/>
      <c r="BB200" s="761"/>
      <c r="BC200" s="142">
        <f>+IF(AND(W200="Preventivo",BB199="Fuerte"),2,IF(AND(W200="Preventivo",BB199="Moderado"),1,0))</f>
        <v>0</v>
      </c>
      <c r="BD200" s="68">
        <f>+IF(AND(W200="Detectivo/Correctivo",$BB199="Fuerte"),2,IF(AND(W200="Detectivo/Correctivo",$BB200="Moderado"),1,IF(AND(W200="Preventivo",$BB199="Fuerte"),1,0)))</f>
        <v>0</v>
      </c>
      <c r="BE200" s="142" t="e">
        <f>+N199-BC200</f>
        <v>#N/A</v>
      </c>
      <c r="BF200" s="142" t="e">
        <f>+P199-BD200</f>
        <v>#N/A</v>
      </c>
      <c r="BG200" s="713"/>
      <c r="BH200" s="713"/>
      <c r="BI200" s="713"/>
      <c r="BJ200" s="803"/>
      <c r="BK200" s="803"/>
      <c r="BL200" s="803"/>
      <c r="BM200" s="803"/>
    </row>
    <row r="201" spans="1:65" ht="65.150000000000006" customHeight="1" thickBot="1">
      <c r="A201" s="724"/>
      <c r="B201" s="812"/>
      <c r="C201" s="730"/>
      <c r="D201" s="158"/>
      <c r="E201" s="158"/>
      <c r="F201" s="814"/>
      <c r="G201" s="736"/>
      <c r="H201" s="105"/>
      <c r="I201" s="161"/>
      <c r="J201" s="105"/>
      <c r="K201" s="160"/>
      <c r="L201" s="150"/>
      <c r="M201" s="727"/>
      <c r="N201" s="720"/>
      <c r="O201" s="810"/>
      <c r="P201" s="720"/>
      <c r="Q201" s="715"/>
      <c r="R201" s="713"/>
      <c r="S201" s="140"/>
      <c r="T201" s="100"/>
      <c r="U201" s="52" t="s">
        <v>467</v>
      </c>
      <c r="V201" s="145"/>
      <c r="W201" s="145"/>
      <c r="X201" s="145"/>
      <c r="Y201" s="99" t="str">
        <f t="shared" si="37"/>
        <v/>
      </c>
      <c r="Z201" s="145"/>
      <c r="AA201" s="99" t="str">
        <f t="shared" si="38"/>
        <v/>
      </c>
      <c r="AB201" s="140"/>
      <c r="AC201" s="99" t="str">
        <f t="shared" si="39"/>
        <v/>
      </c>
      <c r="AD201" s="140"/>
      <c r="AE201" s="99" t="str">
        <f t="shared" si="40"/>
        <v/>
      </c>
      <c r="AF201" s="140"/>
      <c r="AG201" s="99" t="str">
        <f t="shared" si="41"/>
        <v/>
      </c>
      <c r="AH201" s="140"/>
      <c r="AI201" s="99" t="str">
        <f t="shared" si="42"/>
        <v/>
      </c>
      <c r="AJ201" s="140"/>
      <c r="AK201" s="28" t="str">
        <f t="shared" si="43"/>
        <v/>
      </c>
      <c r="AL201" s="111" t="str">
        <f t="shared" si="44"/>
        <v/>
      </c>
      <c r="AM201" s="111" t="str">
        <f t="shared" si="45"/>
        <v/>
      </c>
      <c r="AN201" s="178"/>
      <c r="AO201" s="178"/>
      <c r="AP201" s="178"/>
      <c r="AQ201" s="178"/>
      <c r="AR201" s="178"/>
      <c r="AS201" s="178"/>
      <c r="AT201" s="178"/>
      <c r="AU201" s="179" t="str">
        <f>IFERROR(VLOOKUP(AT201,'Seguridad Información'!$I$61:$J$65,2,0),"")</f>
        <v/>
      </c>
      <c r="AV201" s="83"/>
      <c r="AW201" s="82" t="str">
        <f t="shared" si="36"/>
        <v/>
      </c>
      <c r="AX201" s="81" t="str">
        <f t="shared" si="46"/>
        <v/>
      </c>
      <c r="AY201" s="22" t="str">
        <f>IFERROR(VLOOKUP((CONCATENATE(AM201,AX201)),Listados!$U$3:$V$11,2,FALSE),"")</f>
        <v/>
      </c>
      <c r="AZ201" s="111">
        <f t="shared" ref="AZ201:AZ264" si="47">IF(ISBLANK(AY201),"",IF(AY201="Débil", 0, IF(AY201="Moderado",50,100)))</f>
        <v>100</v>
      </c>
      <c r="BA201" s="717"/>
      <c r="BB201" s="761"/>
      <c r="BC201" s="142">
        <f>+IF(AND(W201="Preventivo",BB199="Fuerte"),2,IF(AND(W201="Preventivo",BB199="Moderado"),1,0))</f>
        <v>0</v>
      </c>
      <c r="BD201" s="68">
        <f>+IF(AND(W201="Detectivo/Correctivo",$BB199="Fuerte"),2,IF(AND(W201="Detectivo/Correctivo",$BB201="Moderado"),1,IF(AND(W201="Preventivo",$BB199="Fuerte"),1,0)))</f>
        <v>0</v>
      </c>
      <c r="BE201" s="142" t="e">
        <f>+N199-BC201</f>
        <v>#N/A</v>
      </c>
      <c r="BF201" s="142" t="e">
        <f>+P199-BD201</f>
        <v>#N/A</v>
      </c>
      <c r="BG201" s="713"/>
      <c r="BH201" s="713"/>
      <c r="BI201" s="713"/>
      <c r="BJ201" s="803"/>
      <c r="BK201" s="803"/>
      <c r="BL201" s="803"/>
      <c r="BM201" s="803"/>
    </row>
    <row r="202" spans="1:65" ht="65.150000000000006" customHeight="1" thickBot="1">
      <c r="A202" s="724"/>
      <c r="B202" s="812"/>
      <c r="C202" s="730"/>
      <c r="D202" s="158"/>
      <c r="E202" s="158"/>
      <c r="F202" s="814"/>
      <c r="G202" s="736"/>
      <c r="H202" s="105"/>
      <c r="I202" s="161"/>
      <c r="J202" s="105"/>
      <c r="K202" s="160"/>
      <c r="L202" s="150"/>
      <c r="M202" s="727"/>
      <c r="N202" s="720"/>
      <c r="O202" s="810"/>
      <c r="P202" s="720"/>
      <c r="Q202" s="715"/>
      <c r="R202" s="713"/>
      <c r="S202" s="140"/>
      <c r="T202" s="101"/>
      <c r="U202" s="52" t="s">
        <v>467</v>
      </c>
      <c r="V202" s="145"/>
      <c r="W202" s="145"/>
      <c r="X202" s="145"/>
      <c r="Y202" s="99" t="str">
        <f t="shared" si="37"/>
        <v/>
      </c>
      <c r="Z202" s="145"/>
      <c r="AA202" s="99" t="str">
        <f t="shared" si="38"/>
        <v/>
      </c>
      <c r="AB202" s="140"/>
      <c r="AC202" s="99" t="str">
        <f t="shared" si="39"/>
        <v/>
      </c>
      <c r="AD202" s="140"/>
      <c r="AE202" s="99" t="str">
        <f t="shared" si="40"/>
        <v/>
      </c>
      <c r="AF202" s="140"/>
      <c r="AG202" s="99" t="str">
        <f t="shared" si="41"/>
        <v/>
      </c>
      <c r="AH202" s="140"/>
      <c r="AI202" s="99" t="str">
        <f t="shared" si="42"/>
        <v/>
      </c>
      <c r="AJ202" s="140"/>
      <c r="AK202" s="28" t="str">
        <f t="shared" si="43"/>
        <v/>
      </c>
      <c r="AL202" s="111" t="str">
        <f t="shared" si="44"/>
        <v/>
      </c>
      <c r="AM202" s="111" t="str">
        <f t="shared" si="45"/>
        <v/>
      </c>
      <c r="AN202" s="178"/>
      <c r="AO202" s="178"/>
      <c r="AP202" s="178"/>
      <c r="AQ202" s="178"/>
      <c r="AR202" s="178"/>
      <c r="AS202" s="178"/>
      <c r="AT202" s="178"/>
      <c r="AU202" s="179" t="str">
        <f>IFERROR(VLOOKUP(AT202,'Seguridad Información'!$I$61:$J$65,2,0),"")</f>
        <v/>
      </c>
      <c r="AV202" s="83"/>
      <c r="AW202" s="82" t="str">
        <f t="shared" si="36"/>
        <v/>
      </c>
      <c r="AX202" s="81" t="str">
        <f t="shared" si="46"/>
        <v/>
      </c>
      <c r="AY202" s="22" t="str">
        <f>IFERROR(VLOOKUP((CONCATENATE(AM202,AX202)),Listados!$U$3:$V$11,2,FALSE),"")</f>
        <v/>
      </c>
      <c r="AZ202" s="111">
        <f t="shared" si="47"/>
        <v>100</v>
      </c>
      <c r="BA202" s="717"/>
      <c r="BB202" s="761"/>
      <c r="BC202" s="142">
        <f>+IF(AND(W202="Preventivo",BB199="Fuerte"),2,IF(AND(W202="Preventivo",BB199="Moderado"),1,0))</f>
        <v>0</v>
      </c>
      <c r="BD202" s="68">
        <f>+IF(AND(W202="Detectivo/Correctivo",$BB199="Fuerte"),2,IF(AND(W202="Detectivo/Correctivo",$BB202="Moderado"),1,IF(AND(W202="Preventivo",$BB199="Fuerte"),1,0)))</f>
        <v>0</v>
      </c>
      <c r="BE202" s="142" t="e">
        <f>+N199-BC202</f>
        <v>#N/A</v>
      </c>
      <c r="BF202" s="142" t="e">
        <f>+P199-BD202</f>
        <v>#N/A</v>
      </c>
      <c r="BG202" s="713"/>
      <c r="BH202" s="713"/>
      <c r="BI202" s="713"/>
      <c r="BJ202" s="803"/>
      <c r="BK202" s="803"/>
      <c r="BL202" s="803"/>
      <c r="BM202" s="803"/>
    </row>
    <row r="203" spans="1:65" ht="65.150000000000006" customHeight="1" thickBot="1">
      <c r="A203" s="724"/>
      <c r="B203" s="812"/>
      <c r="C203" s="730"/>
      <c r="D203" s="116"/>
      <c r="E203" s="116"/>
      <c r="F203" s="814"/>
      <c r="G203" s="736"/>
      <c r="H203" s="105"/>
      <c r="I203" s="161"/>
      <c r="J203" s="105"/>
      <c r="K203" s="29"/>
      <c r="L203" s="150"/>
      <c r="M203" s="727"/>
      <c r="N203" s="720"/>
      <c r="O203" s="810"/>
      <c r="P203" s="720"/>
      <c r="Q203" s="715"/>
      <c r="R203" s="713"/>
      <c r="S203" s="140"/>
      <c r="T203" s="180"/>
      <c r="U203" s="52" t="s">
        <v>467</v>
      </c>
      <c r="V203" s="145"/>
      <c r="W203" s="145"/>
      <c r="X203" s="145"/>
      <c r="Y203" s="99" t="str">
        <f t="shared" si="37"/>
        <v/>
      </c>
      <c r="Z203" s="145"/>
      <c r="AA203" s="99" t="str">
        <f t="shared" si="38"/>
        <v/>
      </c>
      <c r="AB203" s="140"/>
      <c r="AC203" s="99" t="str">
        <f t="shared" si="39"/>
        <v/>
      </c>
      <c r="AD203" s="140"/>
      <c r="AE203" s="99" t="str">
        <f t="shared" si="40"/>
        <v/>
      </c>
      <c r="AF203" s="140"/>
      <c r="AG203" s="99" t="str">
        <f t="shared" si="41"/>
        <v/>
      </c>
      <c r="AH203" s="140"/>
      <c r="AI203" s="99" t="str">
        <f t="shared" si="42"/>
        <v/>
      </c>
      <c r="AJ203" s="140"/>
      <c r="AK203" s="28" t="str">
        <f t="shared" si="43"/>
        <v/>
      </c>
      <c r="AL203" s="111" t="str">
        <f t="shared" si="44"/>
        <v/>
      </c>
      <c r="AM203" s="111" t="str">
        <f t="shared" si="45"/>
        <v/>
      </c>
      <c r="AN203" s="178"/>
      <c r="AO203" s="178"/>
      <c r="AP203" s="178"/>
      <c r="AQ203" s="178"/>
      <c r="AR203" s="178"/>
      <c r="AS203" s="178"/>
      <c r="AT203" s="178"/>
      <c r="AU203" s="179" t="str">
        <f>IFERROR(VLOOKUP(AT203,'Seguridad Información'!$I$61:$J$65,2,0),"")</f>
        <v/>
      </c>
      <c r="AV203" s="83"/>
      <c r="AW203" s="82" t="str">
        <f t="shared" si="36"/>
        <v/>
      </c>
      <c r="AX203" s="81" t="str">
        <f t="shared" si="46"/>
        <v/>
      </c>
      <c r="AY203" s="22" t="str">
        <f>IFERROR(VLOOKUP((CONCATENATE(AM203,AX203)),Listados!$U$3:$V$11,2,FALSE),"")</f>
        <v/>
      </c>
      <c r="AZ203" s="111">
        <f t="shared" si="47"/>
        <v>100</v>
      </c>
      <c r="BA203" s="717"/>
      <c r="BB203" s="761"/>
      <c r="BC203" s="142">
        <f>+IF(AND(W203="Preventivo",BB199="Fuerte"),2,IF(AND(W203="Preventivo",BB199="Moderado"),1,0))</f>
        <v>0</v>
      </c>
      <c r="BD203" s="68">
        <f>+IF(AND(W203="Detectivo/Correctivo",$BB199="Fuerte"),2,IF(AND(W203="Detectivo/Correctivo",$BB203="Moderado"),1,IF(AND(W203="Preventivo",$BB199="Fuerte"),1,0)))</f>
        <v>0</v>
      </c>
      <c r="BE203" s="142" t="e">
        <f>+N199-BC203</f>
        <v>#N/A</v>
      </c>
      <c r="BF203" s="142" t="e">
        <f>+P199-BD203</f>
        <v>#N/A</v>
      </c>
      <c r="BG203" s="713"/>
      <c r="BH203" s="713"/>
      <c r="BI203" s="713"/>
      <c r="BJ203" s="803"/>
      <c r="BK203" s="803"/>
      <c r="BL203" s="803"/>
      <c r="BM203" s="803"/>
    </row>
    <row r="204" spans="1:65" ht="65.150000000000006" customHeight="1" thickBot="1">
      <c r="A204" s="725"/>
      <c r="B204" s="812"/>
      <c r="C204" s="731"/>
      <c r="D204" s="113"/>
      <c r="E204" s="113"/>
      <c r="F204" s="815"/>
      <c r="G204" s="781"/>
      <c r="H204" s="105"/>
      <c r="I204" s="161"/>
      <c r="J204" s="105"/>
      <c r="K204" s="30"/>
      <c r="L204" s="150"/>
      <c r="M204" s="727"/>
      <c r="N204" s="721"/>
      <c r="O204" s="810"/>
      <c r="P204" s="721"/>
      <c r="Q204" s="715"/>
      <c r="R204" s="714"/>
      <c r="S204" s="140"/>
      <c r="T204" s="102"/>
      <c r="U204" s="52" t="s">
        <v>467</v>
      </c>
      <c r="V204" s="145"/>
      <c r="W204" s="145"/>
      <c r="X204" s="145"/>
      <c r="Y204" s="99" t="str">
        <f t="shared" si="37"/>
        <v/>
      </c>
      <c r="Z204" s="145"/>
      <c r="AA204" s="99" t="str">
        <f t="shared" si="38"/>
        <v/>
      </c>
      <c r="AB204" s="140"/>
      <c r="AC204" s="99" t="str">
        <f t="shared" si="39"/>
        <v/>
      </c>
      <c r="AD204" s="140"/>
      <c r="AE204" s="99" t="str">
        <f t="shared" si="40"/>
        <v/>
      </c>
      <c r="AF204" s="140"/>
      <c r="AG204" s="99" t="str">
        <f t="shared" si="41"/>
        <v/>
      </c>
      <c r="AH204" s="140"/>
      <c r="AI204" s="99" t="str">
        <f t="shared" si="42"/>
        <v/>
      </c>
      <c r="AJ204" s="140"/>
      <c r="AK204" s="28" t="str">
        <f t="shared" si="43"/>
        <v/>
      </c>
      <c r="AL204" s="111" t="str">
        <f t="shared" si="44"/>
        <v/>
      </c>
      <c r="AM204" s="111" t="str">
        <f t="shared" si="45"/>
        <v/>
      </c>
      <c r="AN204" s="178"/>
      <c r="AO204" s="178"/>
      <c r="AP204" s="178"/>
      <c r="AQ204" s="178"/>
      <c r="AR204" s="178"/>
      <c r="AS204" s="178"/>
      <c r="AT204" s="178"/>
      <c r="AU204" s="179" t="str">
        <f>IFERROR(VLOOKUP(AT204,'Seguridad Información'!$I$61:$J$65,2,0),"")</f>
        <v/>
      </c>
      <c r="AV204" s="83"/>
      <c r="AW204" s="82" t="str">
        <f t="shared" si="36"/>
        <v/>
      </c>
      <c r="AX204" s="81" t="str">
        <f t="shared" si="46"/>
        <v/>
      </c>
      <c r="AY204" s="22" t="str">
        <f>IFERROR(VLOOKUP((CONCATENATE(AM204,AX204)),Listados!$U$3:$V$11,2,FALSE),"")</f>
        <v/>
      </c>
      <c r="AZ204" s="111">
        <f t="shared" si="47"/>
        <v>100</v>
      </c>
      <c r="BA204" s="718"/>
      <c r="BB204" s="761"/>
      <c r="BC204" s="142">
        <f>+IF(AND(W204="Preventivo",BB199="Fuerte"),2,IF(AND(W204="Preventivo",BB199="Moderado"),1,0))</f>
        <v>0</v>
      </c>
      <c r="BD204" s="68">
        <f>+IF(AND(W204="Detectivo/Correctivo",$BB199="Fuerte"),2,IF(AND(W204="Detectivo/Correctivo",$BB204="Moderado"),1,IF(AND(W204="Preventivo",$BB199="Fuerte"),1,0)))</f>
        <v>0</v>
      </c>
      <c r="BE204" s="142" t="e">
        <f>+N199-BC204</f>
        <v>#N/A</v>
      </c>
      <c r="BF204" s="142" t="e">
        <f>+P199-BD204</f>
        <v>#N/A</v>
      </c>
      <c r="BG204" s="714"/>
      <c r="BH204" s="714"/>
      <c r="BI204" s="714"/>
      <c r="BJ204" s="804"/>
      <c r="BK204" s="804"/>
      <c r="BL204" s="804"/>
      <c r="BM204" s="804"/>
    </row>
    <row r="205" spans="1:65" ht="65.150000000000006" customHeight="1" thickBot="1">
      <c r="A205" s="723">
        <v>34</v>
      </c>
      <c r="B205" s="811"/>
      <c r="C205" s="729" t="str">
        <f>IFERROR(VLOOKUP(B205,Listados!B$3:C$20,2,FALSE),"")</f>
        <v/>
      </c>
      <c r="D205" s="114"/>
      <c r="E205" s="114"/>
      <c r="F205" s="813"/>
      <c r="G205" s="735"/>
      <c r="H205" s="105"/>
      <c r="I205" s="161"/>
      <c r="J205" s="105"/>
      <c r="K205" s="109"/>
      <c r="L205" s="18"/>
      <c r="M205" s="762"/>
      <c r="N205" s="719" t="e">
        <f>+VLOOKUP(M205,Listados!$K$8:$L$12,2,0)</f>
        <v>#N/A</v>
      </c>
      <c r="O205" s="809"/>
      <c r="P205" s="719" t="e">
        <f>+VLOOKUP(O205,Listados!$K$13:$L$17,2,0)</f>
        <v>#N/A</v>
      </c>
      <c r="Q205" s="714" t="str">
        <f>IF(AND(M205&lt;&gt;"",O205&lt;&gt;""),VLOOKUP(M205&amp;O205,Listados!$M$3:$N$27,2,FALSE),"")</f>
        <v/>
      </c>
      <c r="R205" s="712" t="e">
        <f>+VLOOKUP(Q205,Listados!$P$3:$Q$6,2,FALSE)</f>
        <v>#N/A</v>
      </c>
      <c r="S205" s="140"/>
      <c r="T205" s="98"/>
      <c r="U205" s="52" t="s">
        <v>467</v>
      </c>
      <c r="V205" s="145"/>
      <c r="W205" s="145"/>
      <c r="X205" s="145"/>
      <c r="Y205" s="99" t="str">
        <f t="shared" si="37"/>
        <v/>
      </c>
      <c r="Z205" s="145"/>
      <c r="AA205" s="99" t="str">
        <f t="shared" si="38"/>
        <v/>
      </c>
      <c r="AB205" s="140"/>
      <c r="AC205" s="99" t="str">
        <f t="shared" si="39"/>
        <v/>
      </c>
      <c r="AD205" s="140"/>
      <c r="AE205" s="99" t="str">
        <f t="shared" si="40"/>
        <v/>
      </c>
      <c r="AF205" s="140"/>
      <c r="AG205" s="99" t="str">
        <f t="shared" si="41"/>
        <v/>
      </c>
      <c r="AH205" s="140"/>
      <c r="AI205" s="99" t="str">
        <f t="shared" si="42"/>
        <v/>
      </c>
      <c r="AJ205" s="140"/>
      <c r="AK205" s="28" t="str">
        <f t="shared" si="43"/>
        <v/>
      </c>
      <c r="AL205" s="111" t="str">
        <f t="shared" si="44"/>
        <v/>
      </c>
      <c r="AM205" s="111" t="str">
        <f t="shared" si="45"/>
        <v/>
      </c>
      <c r="AN205" s="178"/>
      <c r="AO205" s="178"/>
      <c r="AP205" s="178"/>
      <c r="AQ205" s="178"/>
      <c r="AR205" s="178"/>
      <c r="AS205" s="178"/>
      <c r="AT205" s="178"/>
      <c r="AU205" s="179" t="str">
        <f>IFERROR(VLOOKUP(AT205,'Seguridad Información'!$I$61:$J$65,2,0),"")</f>
        <v/>
      </c>
      <c r="AV205" s="83"/>
      <c r="AW205" s="82" t="str">
        <f t="shared" si="36"/>
        <v/>
      </c>
      <c r="AX205" s="81" t="str">
        <f t="shared" si="46"/>
        <v/>
      </c>
      <c r="AY205" s="22" t="str">
        <f>IFERROR(VLOOKUP((CONCATENATE(AM205,AX205)),Listados!$U$3:$V$11,2,FALSE),"")</f>
        <v/>
      </c>
      <c r="AZ205" s="111">
        <f t="shared" si="47"/>
        <v>100</v>
      </c>
      <c r="BA205" s="716">
        <f>AVERAGE(AZ205:AZ210)</f>
        <v>100</v>
      </c>
      <c r="BB205" s="718" t="str">
        <f>IF(BA205&lt;=50, "Débil", IF(BA205&lt;=99,"Moderado","Fuerte"))</f>
        <v>Fuerte</v>
      </c>
      <c r="BC205" s="142">
        <f>+IF(AND(W205="Preventivo",BB205="Fuerte"),2,IF(AND(W205="Preventivo",BB205="Moderado"),1,0))</f>
        <v>0</v>
      </c>
      <c r="BD205" s="68">
        <f>+IF(AND(W205="Detectivo/Correctivo",$BB205="Fuerte"),2,IF(AND(W205="Detectivo/Correctivo",$BB205="Moderado"),1,IF(AND(W205="Preventivo",$BB205="Fuerte"),1,0)))</f>
        <v>0</v>
      </c>
      <c r="BE205" s="142" t="e">
        <f>+N205-BC205</f>
        <v>#N/A</v>
      </c>
      <c r="BF205" s="142" t="e">
        <f>+P205-BD205</f>
        <v>#N/A</v>
      </c>
      <c r="BG205" s="712" t="e">
        <f>+VLOOKUP(MIN(BE205,BE206,BE207,BE208,BE209,BE210),Listados!$J$18:$K$24,2,TRUE)</f>
        <v>#N/A</v>
      </c>
      <c r="BH205" s="712" t="e">
        <f>+VLOOKUP(MIN(BF205,BF206,BF207,BF208,BF209,BF210),Listados!$J$27:$K$32,2,TRUE)</f>
        <v>#N/A</v>
      </c>
      <c r="BI205" s="712" t="e">
        <f>IF(AND(BG205&lt;&gt;"",BH205&lt;&gt;""),VLOOKUP(BG205&amp;BH205,Listados!$M$3:$N$27,2,FALSE),"")</f>
        <v>#N/A</v>
      </c>
      <c r="BJ205" s="802" t="e">
        <f>+IF($R205="Asumir el riesgo","NA","")</f>
        <v>#N/A</v>
      </c>
      <c r="BK205" s="802" t="e">
        <f>+IF($R205="Asumir el riesgo","NA","")</f>
        <v>#N/A</v>
      </c>
      <c r="BL205" s="802" t="e">
        <f>+IF($R205="Asumir el riesgo","NA","")</f>
        <v>#N/A</v>
      </c>
      <c r="BM205" s="802" t="e">
        <f>+IF($R205="Asumir el riesgo","NA","")</f>
        <v>#N/A</v>
      </c>
    </row>
    <row r="206" spans="1:65" ht="65.150000000000006" customHeight="1" thickBot="1">
      <c r="A206" s="724"/>
      <c r="B206" s="812"/>
      <c r="C206" s="730"/>
      <c r="D206" s="158"/>
      <c r="E206" s="158"/>
      <c r="F206" s="814"/>
      <c r="G206" s="736"/>
      <c r="H206" s="105"/>
      <c r="I206" s="161"/>
      <c r="J206" s="105"/>
      <c r="K206" s="160"/>
      <c r="L206" s="150"/>
      <c r="M206" s="727"/>
      <c r="N206" s="720"/>
      <c r="O206" s="810"/>
      <c r="P206" s="720"/>
      <c r="Q206" s="715"/>
      <c r="R206" s="713"/>
      <c r="S206" s="140"/>
      <c r="T206" s="180"/>
      <c r="U206" s="52" t="s">
        <v>467</v>
      </c>
      <c r="V206" s="145"/>
      <c r="W206" s="145"/>
      <c r="X206" s="145"/>
      <c r="Y206" s="99" t="str">
        <f t="shared" si="37"/>
        <v/>
      </c>
      <c r="Z206" s="145"/>
      <c r="AA206" s="99" t="str">
        <f t="shared" si="38"/>
        <v/>
      </c>
      <c r="AB206" s="140"/>
      <c r="AC206" s="99" t="str">
        <f t="shared" si="39"/>
        <v/>
      </c>
      <c r="AD206" s="140"/>
      <c r="AE206" s="99" t="str">
        <f t="shared" si="40"/>
        <v/>
      </c>
      <c r="AF206" s="140"/>
      <c r="AG206" s="99" t="str">
        <f t="shared" si="41"/>
        <v/>
      </c>
      <c r="AH206" s="140"/>
      <c r="AI206" s="99" t="str">
        <f t="shared" si="42"/>
        <v/>
      </c>
      <c r="AJ206" s="140"/>
      <c r="AK206" s="28" t="str">
        <f t="shared" si="43"/>
        <v/>
      </c>
      <c r="AL206" s="111" t="str">
        <f t="shared" si="44"/>
        <v/>
      </c>
      <c r="AM206" s="111" t="str">
        <f t="shared" si="45"/>
        <v/>
      </c>
      <c r="AN206" s="178"/>
      <c r="AO206" s="178"/>
      <c r="AP206" s="178"/>
      <c r="AQ206" s="178"/>
      <c r="AR206" s="178"/>
      <c r="AS206" s="178"/>
      <c r="AT206" s="178"/>
      <c r="AU206" s="179" t="str">
        <f>IFERROR(VLOOKUP(AT206,'Seguridad Información'!$I$61:$J$65,2,0),"")</f>
        <v/>
      </c>
      <c r="AV206" s="83"/>
      <c r="AW206" s="82" t="str">
        <f t="shared" si="36"/>
        <v/>
      </c>
      <c r="AX206" s="81" t="str">
        <f t="shared" si="46"/>
        <v/>
      </c>
      <c r="AY206" s="22" t="str">
        <f>IFERROR(VLOOKUP((CONCATENATE(AM206,AX206)),Listados!$U$3:$V$11,2,FALSE),"")</f>
        <v/>
      </c>
      <c r="AZ206" s="111">
        <f t="shared" si="47"/>
        <v>100</v>
      </c>
      <c r="BA206" s="717"/>
      <c r="BB206" s="761"/>
      <c r="BC206" s="142">
        <f>+IF(AND(W206="Preventivo",BB205="Fuerte"),2,IF(AND(W206="Preventivo",BB205="Moderado"),1,0))</f>
        <v>0</v>
      </c>
      <c r="BD206" s="68">
        <f>+IF(AND(W206="Detectivo/Correctivo",$BB205="Fuerte"),2,IF(AND(W206="Detectivo/Correctivo",$BB206="Moderado"),1,IF(AND(W206="Preventivo",$BB205="Fuerte"),1,0)))</f>
        <v>0</v>
      </c>
      <c r="BE206" s="142" t="e">
        <f>+N205-BC206</f>
        <v>#N/A</v>
      </c>
      <c r="BF206" s="142" t="e">
        <f>+P205-BD206</f>
        <v>#N/A</v>
      </c>
      <c r="BG206" s="713"/>
      <c r="BH206" s="713"/>
      <c r="BI206" s="713"/>
      <c r="BJ206" s="803"/>
      <c r="BK206" s="803"/>
      <c r="BL206" s="803"/>
      <c r="BM206" s="803"/>
    </row>
    <row r="207" spans="1:65" ht="65.150000000000006" customHeight="1" thickBot="1">
      <c r="A207" s="724"/>
      <c r="B207" s="812"/>
      <c r="C207" s="730"/>
      <c r="D207" s="158"/>
      <c r="E207" s="158"/>
      <c r="F207" s="814"/>
      <c r="G207" s="736"/>
      <c r="H207" s="105"/>
      <c r="I207" s="161"/>
      <c r="J207" s="105"/>
      <c r="K207" s="160"/>
      <c r="L207" s="150"/>
      <c r="M207" s="727"/>
      <c r="N207" s="720"/>
      <c r="O207" s="810"/>
      <c r="P207" s="720"/>
      <c r="Q207" s="715"/>
      <c r="R207" s="713"/>
      <c r="S207" s="140"/>
      <c r="T207" s="100"/>
      <c r="U207" s="52" t="s">
        <v>467</v>
      </c>
      <c r="V207" s="145"/>
      <c r="W207" s="145"/>
      <c r="X207" s="145"/>
      <c r="Y207" s="99" t="str">
        <f t="shared" si="37"/>
        <v/>
      </c>
      <c r="Z207" s="145"/>
      <c r="AA207" s="99" t="str">
        <f t="shared" si="38"/>
        <v/>
      </c>
      <c r="AB207" s="140"/>
      <c r="AC207" s="99" t="str">
        <f t="shared" si="39"/>
        <v/>
      </c>
      <c r="AD207" s="140"/>
      <c r="AE207" s="99" t="str">
        <f t="shared" si="40"/>
        <v/>
      </c>
      <c r="AF207" s="140"/>
      <c r="AG207" s="99" t="str">
        <f t="shared" si="41"/>
        <v/>
      </c>
      <c r="AH207" s="140"/>
      <c r="AI207" s="99" t="str">
        <f t="shared" si="42"/>
        <v/>
      </c>
      <c r="AJ207" s="140"/>
      <c r="AK207" s="28" t="str">
        <f t="shared" si="43"/>
        <v/>
      </c>
      <c r="AL207" s="111" t="str">
        <f t="shared" si="44"/>
        <v/>
      </c>
      <c r="AM207" s="111" t="str">
        <f t="shared" si="45"/>
        <v/>
      </c>
      <c r="AN207" s="178"/>
      <c r="AO207" s="178"/>
      <c r="AP207" s="178"/>
      <c r="AQ207" s="178"/>
      <c r="AR207" s="178"/>
      <c r="AS207" s="178"/>
      <c r="AT207" s="178"/>
      <c r="AU207" s="179" t="str">
        <f>IFERROR(VLOOKUP(AT207,'Seguridad Información'!$I$61:$J$65,2,0),"")</f>
        <v/>
      </c>
      <c r="AV207" s="83"/>
      <c r="AW207" s="82" t="str">
        <f t="shared" si="36"/>
        <v/>
      </c>
      <c r="AX207" s="81" t="str">
        <f t="shared" si="46"/>
        <v/>
      </c>
      <c r="AY207" s="22" t="str">
        <f>IFERROR(VLOOKUP((CONCATENATE(AM207,AX207)),Listados!$U$3:$V$11,2,FALSE),"")</f>
        <v/>
      </c>
      <c r="AZ207" s="111">
        <f t="shared" si="47"/>
        <v>100</v>
      </c>
      <c r="BA207" s="717"/>
      <c r="BB207" s="761"/>
      <c r="BC207" s="142">
        <f>+IF(AND(W207="Preventivo",BB205="Fuerte"),2,IF(AND(W207="Preventivo",BB205="Moderado"),1,0))</f>
        <v>0</v>
      </c>
      <c r="BD207" s="68">
        <f>+IF(AND(W207="Detectivo/Correctivo",$BB205="Fuerte"),2,IF(AND(W207="Detectivo/Correctivo",$BB207="Moderado"),1,IF(AND(W207="Preventivo",$BB205="Fuerte"),1,0)))</f>
        <v>0</v>
      </c>
      <c r="BE207" s="142" t="e">
        <f>+N205-BC207</f>
        <v>#N/A</v>
      </c>
      <c r="BF207" s="142" t="e">
        <f>+P205-BD207</f>
        <v>#N/A</v>
      </c>
      <c r="BG207" s="713"/>
      <c r="BH207" s="713"/>
      <c r="BI207" s="713"/>
      <c r="BJ207" s="803"/>
      <c r="BK207" s="803"/>
      <c r="BL207" s="803"/>
      <c r="BM207" s="803"/>
    </row>
    <row r="208" spans="1:65" ht="65.150000000000006" customHeight="1" thickBot="1">
      <c r="A208" s="724"/>
      <c r="B208" s="812"/>
      <c r="C208" s="730"/>
      <c r="D208" s="158"/>
      <c r="E208" s="158"/>
      <c r="F208" s="814"/>
      <c r="G208" s="736"/>
      <c r="H208" s="105"/>
      <c r="I208" s="161"/>
      <c r="J208" s="105"/>
      <c r="K208" s="160"/>
      <c r="L208" s="150"/>
      <c r="M208" s="727"/>
      <c r="N208" s="720"/>
      <c r="O208" s="810"/>
      <c r="P208" s="720"/>
      <c r="Q208" s="715"/>
      <c r="R208" s="713"/>
      <c r="S208" s="140"/>
      <c r="T208" s="101"/>
      <c r="U208" s="52" t="s">
        <v>467</v>
      </c>
      <c r="V208" s="145"/>
      <c r="W208" s="145"/>
      <c r="X208" s="145"/>
      <c r="Y208" s="99" t="str">
        <f t="shared" si="37"/>
        <v/>
      </c>
      <c r="Z208" s="145"/>
      <c r="AA208" s="99" t="str">
        <f t="shared" si="38"/>
        <v/>
      </c>
      <c r="AB208" s="140"/>
      <c r="AC208" s="99" t="str">
        <f t="shared" si="39"/>
        <v/>
      </c>
      <c r="AD208" s="140"/>
      <c r="AE208" s="99" t="str">
        <f t="shared" si="40"/>
        <v/>
      </c>
      <c r="AF208" s="140"/>
      <c r="AG208" s="99" t="str">
        <f t="shared" si="41"/>
        <v/>
      </c>
      <c r="AH208" s="140"/>
      <c r="AI208" s="99" t="str">
        <f t="shared" si="42"/>
        <v/>
      </c>
      <c r="AJ208" s="140"/>
      <c r="AK208" s="28" t="str">
        <f t="shared" si="43"/>
        <v/>
      </c>
      <c r="AL208" s="111" t="str">
        <f t="shared" si="44"/>
        <v/>
      </c>
      <c r="AM208" s="111" t="str">
        <f t="shared" si="45"/>
        <v/>
      </c>
      <c r="AN208" s="178"/>
      <c r="AO208" s="178"/>
      <c r="AP208" s="178"/>
      <c r="AQ208" s="178"/>
      <c r="AR208" s="178"/>
      <c r="AS208" s="178"/>
      <c r="AT208" s="178"/>
      <c r="AU208" s="179" t="str">
        <f>IFERROR(VLOOKUP(AT208,'Seguridad Información'!$I$61:$J$65,2,0),"")</f>
        <v/>
      </c>
      <c r="AV208" s="83"/>
      <c r="AW208" s="82" t="str">
        <f t="shared" si="36"/>
        <v/>
      </c>
      <c r="AX208" s="81" t="str">
        <f t="shared" si="46"/>
        <v/>
      </c>
      <c r="AY208" s="22" t="str">
        <f>IFERROR(VLOOKUP((CONCATENATE(AM208,AX208)),Listados!$U$3:$V$11,2,FALSE),"")</f>
        <v/>
      </c>
      <c r="AZ208" s="111">
        <f t="shared" si="47"/>
        <v>100</v>
      </c>
      <c r="BA208" s="717"/>
      <c r="BB208" s="761"/>
      <c r="BC208" s="142">
        <f>+IF(AND(W208="Preventivo",BB205="Fuerte"),2,IF(AND(W208="Preventivo",BB205="Moderado"),1,0))</f>
        <v>0</v>
      </c>
      <c r="BD208" s="68">
        <f>+IF(AND(W208="Detectivo/Correctivo",$BB205="Fuerte"),2,IF(AND(W208="Detectivo/Correctivo",$BB208="Moderado"),1,IF(AND(W208="Preventivo",$BB205="Fuerte"),1,0)))</f>
        <v>0</v>
      </c>
      <c r="BE208" s="142" t="e">
        <f>+N205-BC208</f>
        <v>#N/A</v>
      </c>
      <c r="BF208" s="142" t="e">
        <f>+P205-BD208</f>
        <v>#N/A</v>
      </c>
      <c r="BG208" s="713"/>
      <c r="BH208" s="713"/>
      <c r="BI208" s="713"/>
      <c r="BJ208" s="803"/>
      <c r="BK208" s="803"/>
      <c r="BL208" s="803"/>
      <c r="BM208" s="803"/>
    </row>
    <row r="209" spans="1:65" ht="65.150000000000006" customHeight="1" thickBot="1">
      <c r="A209" s="724"/>
      <c r="B209" s="812"/>
      <c r="C209" s="730"/>
      <c r="D209" s="116"/>
      <c r="E209" s="116"/>
      <c r="F209" s="814"/>
      <c r="G209" s="736"/>
      <c r="H209" s="105"/>
      <c r="I209" s="161"/>
      <c r="J209" s="105"/>
      <c r="K209" s="29"/>
      <c r="L209" s="150"/>
      <c r="M209" s="727"/>
      <c r="N209" s="720"/>
      <c r="O209" s="810"/>
      <c r="P209" s="720"/>
      <c r="Q209" s="715"/>
      <c r="R209" s="713"/>
      <c r="S209" s="140"/>
      <c r="T209" s="180"/>
      <c r="U209" s="52" t="s">
        <v>467</v>
      </c>
      <c r="V209" s="145"/>
      <c r="W209" s="145"/>
      <c r="X209" s="145"/>
      <c r="Y209" s="99" t="str">
        <f t="shared" si="37"/>
        <v/>
      </c>
      <c r="Z209" s="145"/>
      <c r="AA209" s="99" t="str">
        <f t="shared" si="38"/>
        <v/>
      </c>
      <c r="AB209" s="140"/>
      <c r="AC209" s="99" t="str">
        <f t="shared" si="39"/>
        <v/>
      </c>
      <c r="AD209" s="140"/>
      <c r="AE209" s="99" t="str">
        <f t="shared" si="40"/>
        <v/>
      </c>
      <c r="AF209" s="140"/>
      <c r="AG209" s="99" t="str">
        <f t="shared" si="41"/>
        <v/>
      </c>
      <c r="AH209" s="140"/>
      <c r="AI209" s="99" t="str">
        <f t="shared" si="42"/>
        <v/>
      </c>
      <c r="AJ209" s="140"/>
      <c r="AK209" s="28" t="str">
        <f t="shared" si="43"/>
        <v/>
      </c>
      <c r="AL209" s="111" t="str">
        <f t="shared" si="44"/>
        <v/>
      </c>
      <c r="AM209" s="111" t="str">
        <f t="shared" si="45"/>
        <v/>
      </c>
      <c r="AN209" s="178"/>
      <c r="AO209" s="178"/>
      <c r="AP209" s="178"/>
      <c r="AQ209" s="178"/>
      <c r="AR209" s="178"/>
      <c r="AS209" s="178"/>
      <c r="AT209" s="178"/>
      <c r="AU209" s="179" t="str">
        <f>IFERROR(VLOOKUP(AT209,'Seguridad Información'!$I$61:$J$65,2,0),"")</f>
        <v/>
      </c>
      <c r="AV209" s="83"/>
      <c r="AW209" s="82" t="str">
        <f t="shared" si="36"/>
        <v/>
      </c>
      <c r="AX209" s="81" t="str">
        <f t="shared" si="46"/>
        <v/>
      </c>
      <c r="AY209" s="22" t="str">
        <f>IFERROR(VLOOKUP((CONCATENATE(AM209,AX209)),Listados!$U$3:$V$11,2,FALSE),"")</f>
        <v/>
      </c>
      <c r="AZ209" s="111">
        <f t="shared" si="47"/>
        <v>100</v>
      </c>
      <c r="BA209" s="717"/>
      <c r="BB209" s="761"/>
      <c r="BC209" s="142">
        <f>+IF(AND(W209="Preventivo",BB205="Fuerte"),2,IF(AND(W209="Preventivo",BB205="Moderado"),1,0))</f>
        <v>0</v>
      </c>
      <c r="BD209" s="68">
        <f>+IF(AND(W209="Detectivo/Correctivo",$BB205="Fuerte"),2,IF(AND(W209="Detectivo/Correctivo",$BB209="Moderado"),1,IF(AND(W209="Preventivo",$BB205="Fuerte"),1,0)))</f>
        <v>0</v>
      </c>
      <c r="BE209" s="142" t="e">
        <f>+N205-BC209</f>
        <v>#N/A</v>
      </c>
      <c r="BF209" s="142" t="e">
        <f>+P205-BD209</f>
        <v>#N/A</v>
      </c>
      <c r="BG209" s="713"/>
      <c r="BH209" s="713"/>
      <c r="BI209" s="713"/>
      <c r="BJ209" s="803"/>
      <c r="BK209" s="803"/>
      <c r="BL209" s="803"/>
      <c r="BM209" s="803"/>
    </row>
    <row r="210" spans="1:65" ht="65.150000000000006" customHeight="1" thickBot="1">
      <c r="A210" s="725"/>
      <c r="B210" s="812"/>
      <c r="C210" s="731"/>
      <c r="D210" s="113"/>
      <c r="E210" s="113"/>
      <c r="F210" s="815"/>
      <c r="G210" s="781"/>
      <c r="H210" s="105"/>
      <c r="I210" s="161"/>
      <c r="J210" s="105"/>
      <c r="K210" s="30"/>
      <c r="L210" s="150"/>
      <c r="M210" s="727"/>
      <c r="N210" s="721"/>
      <c r="O210" s="810"/>
      <c r="P210" s="721"/>
      <c r="Q210" s="715"/>
      <c r="R210" s="714"/>
      <c r="S210" s="140"/>
      <c r="T210" s="102"/>
      <c r="U210" s="52" t="s">
        <v>467</v>
      </c>
      <c r="V210" s="145"/>
      <c r="W210" s="145"/>
      <c r="X210" s="145"/>
      <c r="Y210" s="99" t="str">
        <f t="shared" si="37"/>
        <v/>
      </c>
      <c r="Z210" s="145"/>
      <c r="AA210" s="99" t="str">
        <f t="shared" si="38"/>
        <v/>
      </c>
      <c r="AB210" s="140"/>
      <c r="AC210" s="99" t="str">
        <f t="shared" si="39"/>
        <v/>
      </c>
      <c r="AD210" s="140"/>
      <c r="AE210" s="99" t="str">
        <f t="shared" si="40"/>
        <v/>
      </c>
      <c r="AF210" s="140"/>
      <c r="AG210" s="99" t="str">
        <f t="shared" si="41"/>
        <v/>
      </c>
      <c r="AH210" s="140"/>
      <c r="AI210" s="99" t="str">
        <f t="shared" si="42"/>
        <v/>
      </c>
      <c r="AJ210" s="140"/>
      <c r="AK210" s="28" t="str">
        <f t="shared" si="43"/>
        <v/>
      </c>
      <c r="AL210" s="111" t="str">
        <f t="shared" si="44"/>
        <v/>
      </c>
      <c r="AM210" s="111" t="str">
        <f t="shared" si="45"/>
        <v/>
      </c>
      <c r="AN210" s="178"/>
      <c r="AO210" s="178"/>
      <c r="AP210" s="178"/>
      <c r="AQ210" s="178"/>
      <c r="AR210" s="178"/>
      <c r="AS210" s="178"/>
      <c r="AT210" s="178"/>
      <c r="AU210" s="179" t="str">
        <f>IFERROR(VLOOKUP(AT210,'Seguridad Información'!$I$61:$J$65,2,0),"")</f>
        <v/>
      </c>
      <c r="AV210" s="83"/>
      <c r="AW210" s="82" t="str">
        <f t="shared" si="36"/>
        <v/>
      </c>
      <c r="AX210" s="81" t="str">
        <f t="shared" si="46"/>
        <v/>
      </c>
      <c r="AY210" s="22" t="str">
        <f>IFERROR(VLOOKUP((CONCATENATE(AM210,AX210)),Listados!$U$3:$V$11,2,FALSE),"")</f>
        <v/>
      </c>
      <c r="AZ210" s="111">
        <f t="shared" si="47"/>
        <v>100</v>
      </c>
      <c r="BA210" s="718"/>
      <c r="BB210" s="761"/>
      <c r="BC210" s="142">
        <f>+IF(AND(W210="Preventivo",BB205="Fuerte"),2,IF(AND(W210="Preventivo",BB205="Moderado"),1,0))</f>
        <v>0</v>
      </c>
      <c r="BD210" s="68">
        <f>+IF(AND(W210="Detectivo/Correctivo",$BB205="Fuerte"),2,IF(AND(W210="Detectivo/Correctivo",$BB210="Moderado"),1,IF(AND(W210="Preventivo",$BB205="Fuerte"),1,0)))</f>
        <v>0</v>
      </c>
      <c r="BE210" s="142" t="e">
        <f>+N205-BC210</f>
        <v>#N/A</v>
      </c>
      <c r="BF210" s="142" t="e">
        <f>+P205-BD210</f>
        <v>#N/A</v>
      </c>
      <c r="BG210" s="714"/>
      <c r="BH210" s="714"/>
      <c r="BI210" s="714"/>
      <c r="BJ210" s="804"/>
      <c r="BK210" s="804"/>
      <c r="BL210" s="804"/>
      <c r="BM210" s="804"/>
    </row>
    <row r="211" spans="1:65" ht="65.150000000000006" customHeight="1" thickBot="1">
      <c r="A211" s="723">
        <v>35</v>
      </c>
      <c r="B211" s="811"/>
      <c r="C211" s="729" t="str">
        <f>IFERROR(VLOOKUP(B211,Listados!B$3:C$20,2,FALSE),"")</f>
        <v/>
      </c>
      <c r="D211" s="114"/>
      <c r="E211" s="114"/>
      <c r="F211" s="813"/>
      <c r="G211" s="735"/>
      <c r="H211" s="105"/>
      <c r="I211" s="161"/>
      <c r="J211" s="105"/>
      <c r="K211" s="109"/>
      <c r="L211" s="18"/>
      <c r="M211" s="762"/>
      <c r="N211" s="719" t="e">
        <f>+VLOOKUP(M211,Listados!$K$8:$L$12,2,0)</f>
        <v>#N/A</v>
      </c>
      <c r="O211" s="809"/>
      <c r="P211" s="719" t="e">
        <f>+VLOOKUP(O211,Listados!$K$13:$L$17,2,0)</f>
        <v>#N/A</v>
      </c>
      <c r="Q211" s="714" t="str">
        <f>IF(AND(M211&lt;&gt;"",O211&lt;&gt;""),VLOOKUP(M211&amp;O211,Listados!$M$3:$N$27,2,FALSE),"")</f>
        <v/>
      </c>
      <c r="R211" s="712" t="e">
        <f>+VLOOKUP(Q211,Listados!$P$3:$Q$6,2,FALSE)</f>
        <v>#N/A</v>
      </c>
      <c r="S211" s="140"/>
      <c r="T211" s="98"/>
      <c r="U211" s="52" t="s">
        <v>467</v>
      </c>
      <c r="V211" s="145"/>
      <c r="W211" s="145"/>
      <c r="X211" s="145"/>
      <c r="Y211" s="99" t="str">
        <f t="shared" si="37"/>
        <v/>
      </c>
      <c r="Z211" s="145"/>
      <c r="AA211" s="99" t="str">
        <f t="shared" si="38"/>
        <v/>
      </c>
      <c r="AB211" s="140"/>
      <c r="AC211" s="99" t="str">
        <f t="shared" si="39"/>
        <v/>
      </c>
      <c r="AD211" s="140"/>
      <c r="AE211" s="99" t="str">
        <f t="shared" si="40"/>
        <v/>
      </c>
      <c r="AF211" s="140"/>
      <c r="AG211" s="99" t="str">
        <f t="shared" si="41"/>
        <v/>
      </c>
      <c r="AH211" s="140"/>
      <c r="AI211" s="99" t="str">
        <f t="shared" si="42"/>
        <v/>
      </c>
      <c r="AJ211" s="140"/>
      <c r="AK211" s="28" t="str">
        <f t="shared" si="43"/>
        <v/>
      </c>
      <c r="AL211" s="111" t="str">
        <f t="shared" si="44"/>
        <v/>
      </c>
      <c r="AM211" s="111" t="str">
        <f t="shared" si="45"/>
        <v/>
      </c>
      <c r="AN211" s="178"/>
      <c r="AO211" s="178"/>
      <c r="AP211" s="178"/>
      <c r="AQ211" s="178"/>
      <c r="AR211" s="178"/>
      <c r="AS211" s="178"/>
      <c r="AT211" s="178"/>
      <c r="AU211" s="179" t="str">
        <f>IFERROR(VLOOKUP(AT211,'Seguridad Información'!$I$61:$J$65,2,0),"")</f>
        <v/>
      </c>
      <c r="AV211" s="83"/>
      <c r="AW211" s="82" t="str">
        <f t="shared" si="36"/>
        <v/>
      </c>
      <c r="AX211" s="81" t="str">
        <f t="shared" si="46"/>
        <v/>
      </c>
      <c r="AY211" s="22" t="str">
        <f>IFERROR(VLOOKUP((CONCATENATE(AM211,AX211)),Listados!$U$3:$V$11,2,FALSE),"")</f>
        <v/>
      </c>
      <c r="AZ211" s="111">
        <f t="shared" si="47"/>
        <v>100</v>
      </c>
      <c r="BA211" s="716">
        <f>AVERAGE(AZ211:AZ216)</f>
        <v>100</v>
      </c>
      <c r="BB211" s="718" t="str">
        <f>IF(BA211&lt;=50, "Débil", IF(BA211&lt;=99,"Moderado","Fuerte"))</f>
        <v>Fuerte</v>
      </c>
      <c r="BC211" s="142">
        <f>+IF(AND(W211="Preventivo",BB211="Fuerte"),2,IF(AND(W211="Preventivo",BB211="Moderado"),1,0))</f>
        <v>0</v>
      </c>
      <c r="BD211" s="68">
        <f>+IF(AND(W211="Detectivo/Correctivo",$BB211="Fuerte"),2,IF(AND(W211="Detectivo/Correctivo",$BB211="Moderado"),1,IF(AND(W211="Preventivo",$BB211="Fuerte"),1,0)))</f>
        <v>0</v>
      </c>
      <c r="BE211" s="142" t="e">
        <f>+N211-BC211</f>
        <v>#N/A</v>
      </c>
      <c r="BF211" s="142" t="e">
        <f>+P211-BD211</f>
        <v>#N/A</v>
      </c>
      <c r="BG211" s="712" t="e">
        <f>+VLOOKUP(MIN(BE211,BE212,BE213,BE214,BE215,BE216),Listados!$J$18:$K$24,2,TRUE)</f>
        <v>#N/A</v>
      </c>
      <c r="BH211" s="712" t="e">
        <f>+VLOOKUP(MIN(BF211,BF212,BF213,BF214,BF215,BF216),Listados!$J$27:$K$32,2,TRUE)</f>
        <v>#N/A</v>
      </c>
      <c r="BI211" s="712" t="e">
        <f>IF(AND(BG211&lt;&gt;"",BH211&lt;&gt;""),VLOOKUP(BG211&amp;BH211,Listados!$M$3:$N$27,2,FALSE),"")</f>
        <v>#N/A</v>
      </c>
      <c r="BJ211" s="802" t="e">
        <f>+IF($R211="Asumir el riesgo","NA","")</f>
        <v>#N/A</v>
      </c>
      <c r="BK211" s="802" t="e">
        <f>+IF($R211="Asumir el riesgo","NA","")</f>
        <v>#N/A</v>
      </c>
      <c r="BL211" s="802" t="e">
        <f>+IF($R211="Asumir el riesgo","NA","")</f>
        <v>#N/A</v>
      </c>
      <c r="BM211" s="802" t="e">
        <f>+IF($R211="Asumir el riesgo","NA","")</f>
        <v>#N/A</v>
      </c>
    </row>
    <row r="212" spans="1:65" ht="65.150000000000006" customHeight="1" thickBot="1">
      <c r="A212" s="724"/>
      <c r="B212" s="812"/>
      <c r="C212" s="730"/>
      <c r="D212" s="158"/>
      <c r="E212" s="158"/>
      <c r="F212" s="814"/>
      <c r="G212" s="736"/>
      <c r="H212" s="105"/>
      <c r="I212" s="161"/>
      <c r="J212" s="105"/>
      <c r="K212" s="160"/>
      <c r="L212" s="150"/>
      <c r="M212" s="727"/>
      <c r="N212" s="720"/>
      <c r="O212" s="810"/>
      <c r="P212" s="720"/>
      <c r="Q212" s="715"/>
      <c r="R212" s="713"/>
      <c r="S212" s="140"/>
      <c r="T212" s="180"/>
      <c r="U212" s="52" t="s">
        <v>467</v>
      </c>
      <c r="V212" s="145"/>
      <c r="W212" s="145"/>
      <c r="X212" s="145"/>
      <c r="Y212" s="99" t="str">
        <f t="shared" si="37"/>
        <v/>
      </c>
      <c r="Z212" s="145"/>
      <c r="AA212" s="99" t="str">
        <f t="shared" si="38"/>
        <v/>
      </c>
      <c r="AB212" s="140"/>
      <c r="AC212" s="99" t="str">
        <f t="shared" si="39"/>
        <v/>
      </c>
      <c r="AD212" s="140"/>
      <c r="AE212" s="99" t="str">
        <f t="shared" si="40"/>
        <v/>
      </c>
      <c r="AF212" s="140"/>
      <c r="AG212" s="99" t="str">
        <f t="shared" si="41"/>
        <v/>
      </c>
      <c r="AH212" s="140"/>
      <c r="AI212" s="99" t="str">
        <f t="shared" si="42"/>
        <v/>
      </c>
      <c r="AJ212" s="140"/>
      <c r="AK212" s="28" t="str">
        <f t="shared" si="43"/>
        <v/>
      </c>
      <c r="AL212" s="111" t="str">
        <f t="shared" si="44"/>
        <v/>
      </c>
      <c r="AM212" s="111" t="str">
        <f t="shared" si="45"/>
        <v/>
      </c>
      <c r="AN212" s="178"/>
      <c r="AO212" s="178"/>
      <c r="AP212" s="178"/>
      <c r="AQ212" s="178"/>
      <c r="AR212" s="178"/>
      <c r="AS212" s="178"/>
      <c r="AT212" s="178"/>
      <c r="AU212" s="179" t="str">
        <f>IFERROR(VLOOKUP(AT212,'Seguridad Información'!$I$61:$J$65,2,0),"")</f>
        <v/>
      </c>
      <c r="AV212" s="83"/>
      <c r="AW212" s="82" t="str">
        <f t="shared" si="36"/>
        <v/>
      </c>
      <c r="AX212" s="81" t="str">
        <f t="shared" si="46"/>
        <v/>
      </c>
      <c r="AY212" s="22" t="str">
        <f>IFERROR(VLOOKUP((CONCATENATE(AM212,AX212)),Listados!$U$3:$V$11,2,FALSE),"")</f>
        <v/>
      </c>
      <c r="AZ212" s="111">
        <f t="shared" si="47"/>
        <v>100</v>
      </c>
      <c r="BA212" s="717"/>
      <c r="BB212" s="761"/>
      <c r="BC212" s="142">
        <f>+IF(AND(W212="Preventivo",BB211="Fuerte"),2,IF(AND(W212="Preventivo",BB211="Moderado"),1,0))</f>
        <v>0</v>
      </c>
      <c r="BD212" s="68">
        <f>+IF(AND(W212="Detectivo/Correctivo",$BB211="Fuerte"),2,IF(AND(W212="Detectivo/Correctivo",$BB212="Moderado"),1,IF(AND(W212="Preventivo",$BB211="Fuerte"),1,0)))</f>
        <v>0</v>
      </c>
      <c r="BE212" s="142" t="e">
        <f>+N211-BC212</f>
        <v>#N/A</v>
      </c>
      <c r="BF212" s="142" t="e">
        <f>+P211-BD212</f>
        <v>#N/A</v>
      </c>
      <c r="BG212" s="713"/>
      <c r="BH212" s="713"/>
      <c r="BI212" s="713"/>
      <c r="BJ212" s="803"/>
      <c r="BK212" s="803"/>
      <c r="BL212" s="803"/>
      <c r="BM212" s="803"/>
    </row>
    <row r="213" spans="1:65" ht="65.150000000000006" customHeight="1" thickBot="1">
      <c r="A213" s="724"/>
      <c r="B213" s="812"/>
      <c r="C213" s="730"/>
      <c r="D213" s="158"/>
      <c r="E213" s="158"/>
      <c r="F213" s="814"/>
      <c r="G213" s="736"/>
      <c r="H213" s="105"/>
      <c r="I213" s="161"/>
      <c r="J213" s="105"/>
      <c r="K213" s="160"/>
      <c r="L213" s="150"/>
      <c r="M213" s="727"/>
      <c r="N213" s="720"/>
      <c r="O213" s="810"/>
      <c r="P213" s="720"/>
      <c r="Q213" s="715"/>
      <c r="R213" s="713"/>
      <c r="S213" s="140"/>
      <c r="T213" s="100"/>
      <c r="U213" s="52" t="s">
        <v>467</v>
      </c>
      <c r="V213" s="145"/>
      <c r="W213" s="145"/>
      <c r="X213" s="145"/>
      <c r="Y213" s="99" t="str">
        <f t="shared" si="37"/>
        <v/>
      </c>
      <c r="Z213" s="145"/>
      <c r="AA213" s="99" t="str">
        <f t="shared" si="38"/>
        <v/>
      </c>
      <c r="AB213" s="140"/>
      <c r="AC213" s="99" t="str">
        <f t="shared" si="39"/>
        <v/>
      </c>
      <c r="AD213" s="140"/>
      <c r="AE213" s="99" t="str">
        <f t="shared" si="40"/>
        <v/>
      </c>
      <c r="AF213" s="140"/>
      <c r="AG213" s="99" t="str">
        <f t="shared" si="41"/>
        <v/>
      </c>
      <c r="AH213" s="140"/>
      <c r="AI213" s="99" t="str">
        <f t="shared" si="42"/>
        <v/>
      </c>
      <c r="AJ213" s="140"/>
      <c r="AK213" s="28" t="str">
        <f t="shared" si="43"/>
        <v/>
      </c>
      <c r="AL213" s="111" t="str">
        <f t="shared" si="44"/>
        <v/>
      </c>
      <c r="AM213" s="111" t="str">
        <f t="shared" si="45"/>
        <v/>
      </c>
      <c r="AN213" s="178"/>
      <c r="AO213" s="178"/>
      <c r="AP213" s="178"/>
      <c r="AQ213" s="178"/>
      <c r="AR213" s="178"/>
      <c r="AS213" s="178"/>
      <c r="AT213" s="178"/>
      <c r="AU213" s="179" t="str">
        <f>IFERROR(VLOOKUP(AT213,'Seguridad Información'!$I$61:$J$65,2,0),"")</f>
        <v/>
      </c>
      <c r="AV213" s="83"/>
      <c r="AW213" s="82" t="str">
        <f t="shared" si="36"/>
        <v/>
      </c>
      <c r="AX213" s="81" t="str">
        <f t="shared" si="46"/>
        <v/>
      </c>
      <c r="AY213" s="22" t="str">
        <f>IFERROR(VLOOKUP((CONCATENATE(AM213,AX213)),Listados!$U$3:$V$11,2,FALSE),"")</f>
        <v/>
      </c>
      <c r="AZ213" s="111">
        <f t="shared" si="47"/>
        <v>100</v>
      </c>
      <c r="BA213" s="717"/>
      <c r="BB213" s="761"/>
      <c r="BC213" s="142">
        <f>+IF(AND(W213="Preventivo",BB211="Fuerte"),2,IF(AND(W213="Preventivo",BB211="Moderado"),1,0))</f>
        <v>0</v>
      </c>
      <c r="BD213" s="68">
        <f>+IF(AND(W213="Detectivo/Correctivo",$BB211="Fuerte"),2,IF(AND(W213="Detectivo/Correctivo",$BB213="Moderado"),1,IF(AND(W213="Preventivo",$BB211="Fuerte"),1,0)))</f>
        <v>0</v>
      </c>
      <c r="BE213" s="142" t="e">
        <f>+N211-BC213</f>
        <v>#N/A</v>
      </c>
      <c r="BF213" s="142" t="e">
        <f>+P211-BD213</f>
        <v>#N/A</v>
      </c>
      <c r="BG213" s="713"/>
      <c r="BH213" s="713"/>
      <c r="BI213" s="713"/>
      <c r="BJ213" s="803"/>
      <c r="BK213" s="803"/>
      <c r="BL213" s="803"/>
      <c r="BM213" s="803"/>
    </row>
    <row r="214" spans="1:65" ht="65.150000000000006" customHeight="1" thickBot="1">
      <c r="A214" s="724"/>
      <c r="B214" s="812"/>
      <c r="C214" s="730"/>
      <c r="D214" s="158"/>
      <c r="E214" s="158"/>
      <c r="F214" s="814"/>
      <c r="G214" s="736"/>
      <c r="H214" s="105"/>
      <c r="I214" s="161"/>
      <c r="J214" s="105"/>
      <c r="K214" s="160"/>
      <c r="L214" s="150"/>
      <c r="M214" s="727"/>
      <c r="N214" s="720"/>
      <c r="O214" s="810"/>
      <c r="P214" s="720"/>
      <c r="Q214" s="715"/>
      <c r="R214" s="713"/>
      <c r="S214" s="140"/>
      <c r="T214" s="101"/>
      <c r="U214" s="52" t="s">
        <v>467</v>
      </c>
      <c r="V214" s="145"/>
      <c r="W214" s="145"/>
      <c r="X214" s="145"/>
      <c r="Y214" s="99" t="str">
        <f t="shared" si="37"/>
        <v/>
      </c>
      <c r="Z214" s="145"/>
      <c r="AA214" s="99" t="str">
        <f t="shared" si="38"/>
        <v/>
      </c>
      <c r="AB214" s="140"/>
      <c r="AC214" s="99" t="str">
        <f t="shared" si="39"/>
        <v/>
      </c>
      <c r="AD214" s="140"/>
      <c r="AE214" s="99" t="str">
        <f t="shared" si="40"/>
        <v/>
      </c>
      <c r="AF214" s="140"/>
      <c r="AG214" s="99" t="str">
        <f t="shared" si="41"/>
        <v/>
      </c>
      <c r="AH214" s="140"/>
      <c r="AI214" s="99" t="str">
        <f t="shared" si="42"/>
        <v/>
      </c>
      <c r="AJ214" s="140"/>
      <c r="AK214" s="28" t="str">
        <f t="shared" si="43"/>
        <v/>
      </c>
      <c r="AL214" s="111" t="str">
        <f t="shared" si="44"/>
        <v/>
      </c>
      <c r="AM214" s="111" t="str">
        <f t="shared" si="45"/>
        <v/>
      </c>
      <c r="AN214" s="178"/>
      <c r="AO214" s="178"/>
      <c r="AP214" s="178"/>
      <c r="AQ214" s="178"/>
      <c r="AR214" s="178"/>
      <c r="AS214" s="178"/>
      <c r="AT214" s="178"/>
      <c r="AU214" s="179" t="str">
        <f>IFERROR(VLOOKUP(AT214,'Seguridad Información'!$I$61:$J$65,2,0),"")</f>
        <v/>
      </c>
      <c r="AV214" s="83"/>
      <c r="AW214" s="82" t="str">
        <f t="shared" si="36"/>
        <v/>
      </c>
      <c r="AX214" s="81" t="str">
        <f t="shared" si="46"/>
        <v/>
      </c>
      <c r="AY214" s="22" t="str">
        <f>IFERROR(VLOOKUP((CONCATENATE(AM214,AX214)),Listados!$U$3:$V$11,2,FALSE),"")</f>
        <v/>
      </c>
      <c r="AZ214" s="111">
        <f t="shared" si="47"/>
        <v>100</v>
      </c>
      <c r="BA214" s="717"/>
      <c r="BB214" s="761"/>
      <c r="BC214" s="142">
        <f>+IF(AND(W214="Preventivo",BB211="Fuerte"),2,IF(AND(W214="Preventivo",BB211="Moderado"),1,0))</f>
        <v>0</v>
      </c>
      <c r="BD214" s="68">
        <f>+IF(AND(W214="Detectivo/Correctivo",$BB211="Fuerte"),2,IF(AND(W214="Detectivo/Correctivo",$BB214="Moderado"),1,IF(AND(W214="Preventivo",$BB211="Fuerte"),1,0)))</f>
        <v>0</v>
      </c>
      <c r="BE214" s="142" t="e">
        <f>+N211-BC214</f>
        <v>#N/A</v>
      </c>
      <c r="BF214" s="142" t="e">
        <f>+P211-BD214</f>
        <v>#N/A</v>
      </c>
      <c r="BG214" s="713"/>
      <c r="BH214" s="713"/>
      <c r="BI214" s="713"/>
      <c r="BJ214" s="803"/>
      <c r="BK214" s="803"/>
      <c r="BL214" s="803"/>
      <c r="BM214" s="803"/>
    </row>
    <row r="215" spans="1:65" ht="65.150000000000006" customHeight="1" thickBot="1">
      <c r="A215" s="724"/>
      <c r="B215" s="812"/>
      <c r="C215" s="730"/>
      <c r="D215" s="116"/>
      <c r="E215" s="116"/>
      <c r="F215" s="814"/>
      <c r="G215" s="736"/>
      <c r="H215" s="105"/>
      <c r="I215" s="161"/>
      <c r="J215" s="105"/>
      <c r="K215" s="29"/>
      <c r="L215" s="150"/>
      <c r="M215" s="727"/>
      <c r="N215" s="720"/>
      <c r="O215" s="810"/>
      <c r="P215" s="720"/>
      <c r="Q215" s="715"/>
      <c r="R215" s="713"/>
      <c r="S215" s="140"/>
      <c r="T215" s="180"/>
      <c r="U215" s="52" t="s">
        <v>467</v>
      </c>
      <c r="V215" s="145"/>
      <c r="W215" s="145"/>
      <c r="X215" s="145"/>
      <c r="Y215" s="99" t="str">
        <f t="shared" si="37"/>
        <v/>
      </c>
      <c r="Z215" s="145"/>
      <c r="AA215" s="99" t="str">
        <f t="shared" si="38"/>
        <v/>
      </c>
      <c r="AB215" s="140"/>
      <c r="AC215" s="99" t="str">
        <f t="shared" si="39"/>
        <v/>
      </c>
      <c r="AD215" s="140"/>
      <c r="AE215" s="99" t="str">
        <f t="shared" si="40"/>
        <v/>
      </c>
      <c r="AF215" s="140"/>
      <c r="AG215" s="99" t="str">
        <f t="shared" si="41"/>
        <v/>
      </c>
      <c r="AH215" s="140"/>
      <c r="AI215" s="99" t="str">
        <f t="shared" si="42"/>
        <v/>
      </c>
      <c r="AJ215" s="140"/>
      <c r="AK215" s="28" t="str">
        <f t="shared" si="43"/>
        <v/>
      </c>
      <c r="AL215" s="111" t="str">
        <f t="shared" si="44"/>
        <v/>
      </c>
      <c r="AM215" s="111" t="str">
        <f t="shared" si="45"/>
        <v/>
      </c>
      <c r="AN215" s="178"/>
      <c r="AO215" s="178"/>
      <c r="AP215" s="178"/>
      <c r="AQ215" s="178"/>
      <c r="AR215" s="178"/>
      <c r="AS215" s="178"/>
      <c r="AT215" s="178"/>
      <c r="AU215" s="179" t="str">
        <f>IFERROR(VLOOKUP(AT215,'Seguridad Información'!$I$61:$J$65,2,0),"")</f>
        <v/>
      </c>
      <c r="AV215" s="83"/>
      <c r="AW215" s="82" t="str">
        <f t="shared" si="36"/>
        <v/>
      </c>
      <c r="AX215" s="81" t="str">
        <f t="shared" si="46"/>
        <v/>
      </c>
      <c r="AY215" s="22" t="str">
        <f>IFERROR(VLOOKUP((CONCATENATE(AM215,AX215)),Listados!$U$3:$V$11,2,FALSE),"")</f>
        <v/>
      </c>
      <c r="AZ215" s="111">
        <f t="shared" si="47"/>
        <v>100</v>
      </c>
      <c r="BA215" s="717"/>
      <c r="BB215" s="761"/>
      <c r="BC215" s="142">
        <f>+IF(AND(W215="Preventivo",BB211="Fuerte"),2,IF(AND(W215="Preventivo",BB211="Moderado"),1,0))</f>
        <v>0</v>
      </c>
      <c r="BD215" s="68">
        <f>+IF(AND(W215="Detectivo/Correctivo",$BB211="Fuerte"),2,IF(AND(W215="Detectivo/Correctivo",$BB215="Moderado"),1,IF(AND(W215="Preventivo",$BB211="Fuerte"),1,0)))</f>
        <v>0</v>
      </c>
      <c r="BE215" s="142" t="e">
        <f>+N211-BC215</f>
        <v>#N/A</v>
      </c>
      <c r="BF215" s="142" t="e">
        <f>+P211-BD215</f>
        <v>#N/A</v>
      </c>
      <c r="BG215" s="713"/>
      <c r="BH215" s="713"/>
      <c r="BI215" s="713"/>
      <c r="BJ215" s="803"/>
      <c r="BK215" s="803"/>
      <c r="BL215" s="803"/>
      <c r="BM215" s="803"/>
    </row>
    <row r="216" spans="1:65" ht="65.150000000000006" customHeight="1" thickBot="1">
      <c r="A216" s="725"/>
      <c r="B216" s="812"/>
      <c r="C216" s="731"/>
      <c r="D216" s="113"/>
      <c r="E216" s="113"/>
      <c r="F216" s="815"/>
      <c r="G216" s="781"/>
      <c r="H216" s="105"/>
      <c r="I216" s="161"/>
      <c r="J216" s="105"/>
      <c r="K216" s="30"/>
      <c r="L216" s="150"/>
      <c r="M216" s="727"/>
      <c r="N216" s="721"/>
      <c r="O216" s="810"/>
      <c r="P216" s="721"/>
      <c r="Q216" s="715"/>
      <c r="R216" s="714"/>
      <c r="S216" s="140"/>
      <c r="T216" s="102"/>
      <c r="U216" s="52" t="s">
        <v>467</v>
      </c>
      <c r="V216" s="145"/>
      <c r="W216" s="145"/>
      <c r="X216" s="145"/>
      <c r="Y216" s="99" t="str">
        <f t="shared" si="37"/>
        <v/>
      </c>
      <c r="Z216" s="145"/>
      <c r="AA216" s="99" t="str">
        <f t="shared" si="38"/>
        <v/>
      </c>
      <c r="AB216" s="140"/>
      <c r="AC216" s="99" t="str">
        <f t="shared" si="39"/>
        <v/>
      </c>
      <c r="AD216" s="140"/>
      <c r="AE216" s="99" t="str">
        <f t="shared" si="40"/>
        <v/>
      </c>
      <c r="AF216" s="140"/>
      <c r="AG216" s="99" t="str">
        <f t="shared" si="41"/>
        <v/>
      </c>
      <c r="AH216" s="140"/>
      <c r="AI216" s="99" t="str">
        <f t="shared" si="42"/>
        <v/>
      </c>
      <c r="AJ216" s="140"/>
      <c r="AK216" s="28" t="str">
        <f t="shared" si="43"/>
        <v/>
      </c>
      <c r="AL216" s="111" t="str">
        <f t="shared" si="44"/>
        <v/>
      </c>
      <c r="AM216" s="111" t="str">
        <f t="shared" si="45"/>
        <v/>
      </c>
      <c r="AN216" s="178"/>
      <c r="AO216" s="178"/>
      <c r="AP216" s="178"/>
      <c r="AQ216" s="178"/>
      <c r="AR216" s="178"/>
      <c r="AS216" s="178"/>
      <c r="AT216" s="178"/>
      <c r="AU216" s="179" t="str">
        <f>IFERROR(VLOOKUP(AT216,'Seguridad Información'!$I$61:$J$65,2,0),"")</f>
        <v/>
      </c>
      <c r="AV216" s="83"/>
      <c r="AW216" s="82" t="str">
        <f t="shared" si="36"/>
        <v/>
      </c>
      <c r="AX216" s="81" t="str">
        <f t="shared" si="46"/>
        <v/>
      </c>
      <c r="AY216" s="22" t="str">
        <f>IFERROR(VLOOKUP((CONCATENATE(AM216,AX216)),Listados!$U$3:$V$11,2,FALSE),"")</f>
        <v/>
      </c>
      <c r="AZ216" s="111">
        <f t="shared" si="47"/>
        <v>100</v>
      </c>
      <c r="BA216" s="718"/>
      <c r="BB216" s="761"/>
      <c r="BC216" s="142">
        <f>+IF(AND(W216="Preventivo",BB211="Fuerte"),2,IF(AND(W216="Preventivo",BB211="Moderado"),1,0))</f>
        <v>0</v>
      </c>
      <c r="BD216" s="68">
        <f>+IF(AND(W216="Detectivo/Correctivo",$BB211="Fuerte"),2,IF(AND(W216="Detectivo/Correctivo",$BB216="Moderado"),1,IF(AND(W216="Preventivo",$BB211="Fuerte"),1,0)))</f>
        <v>0</v>
      </c>
      <c r="BE216" s="142" t="e">
        <f>+N211-BC216</f>
        <v>#N/A</v>
      </c>
      <c r="BF216" s="142" t="e">
        <f>+P211-BD216</f>
        <v>#N/A</v>
      </c>
      <c r="BG216" s="714"/>
      <c r="BH216" s="714"/>
      <c r="BI216" s="714"/>
      <c r="BJ216" s="804"/>
      <c r="BK216" s="804"/>
      <c r="BL216" s="804"/>
      <c r="BM216" s="804"/>
    </row>
    <row r="217" spans="1:65" ht="65.150000000000006" customHeight="1" thickBot="1">
      <c r="A217" s="723">
        <v>36</v>
      </c>
      <c r="B217" s="811"/>
      <c r="C217" s="729" t="str">
        <f>IFERROR(VLOOKUP(B217,Listados!B$3:C$20,2,FALSE),"")</f>
        <v/>
      </c>
      <c r="D217" s="114"/>
      <c r="E217" s="114"/>
      <c r="F217" s="813"/>
      <c r="G217" s="735"/>
      <c r="H217" s="105"/>
      <c r="I217" s="161"/>
      <c r="J217" s="105"/>
      <c r="K217" s="109"/>
      <c r="L217" s="18"/>
      <c r="M217" s="762"/>
      <c r="N217" s="719" t="e">
        <f>+VLOOKUP(M217,Listados!$K$8:$L$12,2,0)</f>
        <v>#N/A</v>
      </c>
      <c r="O217" s="809"/>
      <c r="P217" s="719" t="e">
        <f>+VLOOKUP(O217,Listados!$K$13:$L$17,2,0)</f>
        <v>#N/A</v>
      </c>
      <c r="Q217" s="714" t="str">
        <f>IF(AND(M217&lt;&gt;"",O217&lt;&gt;""),VLOOKUP(M217&amp;O217,Listados!$M$3:$N$27,2,FALSE),"")</f>
        <v/>
      </c>
      <c r="R217" s="712" t="e">
        <f>+VLOOKUP(Q217,Listados!$P$3:$Q$6,2,FALSE)</f>
        <v>#N/A</v>
      </c>
      <c r="S217" s="140"/>
      <c r="T217" s="98"/>
      <c r="U217" s="52" t="s">
        <v>467</v>
      </c>
      <c r="V217" s="145"/>
      <c r="W217" s="145"/>
      <c r="X217" s="145"/>
      <c r="Y217" s="99" t="str">
        <f t="shared" si="37"/>
        <v/>
      </c>
      <c r="Z217" s="145"/>
      <c r="AA217" s="99" t="str">
        <f t="shared" si="38"/>
        <v/>
      </c>
      <c r="AB217" s="140"/>
      <c r="AC217" s="99" t="str">
        <f t="shared" si="39"/>
        <v/>
      </c>
      <c r="AD217" s="140"/>
      <c r="AE217" s="99" t="str">
        <f t="shared" si="40"/>
        <v/>
      </c>
      <c r="AF217" s="140"/>
      <c r="AG217" s="99" t="str">
        <f t="shared" si="41"/>
        <v/>
      </c>
      <c r="AH217" s="140"/>
      <c r="AI217" s="99" t="str">
        <f t="shared" si="42"/>
        <v/>
      </c>
      <c r="AJ217" s="140"/>
      <c r="AK217" s="28" t="str">
        <f t="shared" si="43"/>
        <v/>
      </c>
      <c r="AL217" s="111" t="str">
        <f t="shared" si="44"/>
        <v/>
      </c>
      <c r="AM217" s="111" t="str">
        <f t="shared" si="45"/>
        <v/>
      </c>
      <c r="AN217" s="178"/>
      <c r="AO217" s="178"/>
      <c r="AP217" s="178"/>
      <c r="AQ217" s="178"/>
      <c r="AR217" s="178"/>
      <c r="AS217" s="178"/>
      <c r="AT217" s="178"/>
      <c r="AU217" s="179" t="str">
        <f>IFERROR(VLOOKUP(AT217,'Seguridad Información'!$I$61:$J$65,2,0),"")</f>
        <v/>
      </c>
      <c r="AV217" s="83"/>
      <c r="AW217" s="82" t="str">
        <f t="shared" si="36"/>
        <v/>
      </c>
      <c r="AX217" s="81" t="str">
        <f t="shared" si="46"/>
        <v/>
      </c>
      <c r="AY217" s="22" t="str">
        <f>IFERROR(VLOOKUP((CONCATENATE(AM217,AX217)),Listados!$U$3:$V$11,2,FALSE),"")</f>
        <v/>
      </c>
      <c r="AZ217" s="111">
        <f t="shared" si="47"/>
        <v>100</v>
      </c>
      <c r="BA217" s="716">
        <f>AVERAGE(AZ217:AZ222)</f>
        <v>100</v>
      </c>
      <c r="BB217" s="718" t="str">
        <f>IF(BA217&lt;=50, "Débil", IF(BA217&lt;=99,"Moderado","Fuerte"))</f>
        <v>Fuerte</v>
      </c>
      <c r="BC217" s="142">
        <f>+IF(AND(W217="Preventivo",BB217="Fuerte"),2,IF(AND(W217="Preventivo",BB217="Moderado"),1,0))</f>
        <v>0</v>
      </c>
      <c r="BD217" s="68">
        <f>+IF(AND(W217="Detectivo/Correctivo",$BB217="Fuerte"),2,IF(AND(W217="Detectivo/Correctivo",$BB217="Moderado"),1,IF(AND(W217="Preventivo",$BB217="Fuerte"),1,0)))</f>
        <v>0</v>
      </c>
      <c r="BE217" s="142" t="e">
        <f>+N217-BC217</f>
        <v>#N/A</v>
      </c>
      <c r="BF217" s="142" t="e">
        <f>+P217-BD217</f>
        <v>#N/A</v>
      </c>
      <c r="BG217" s="712" t="e">
        <f>+VLOOKUP(MIN(BE217,BE218,BE219,BE220,BE221,BE222),Listados!$J$18:$K$24,2,TRUE)</f>
        <v>#N/A</v>
      </c>
      <c r="BH217" s="712" t="e">
        <f>+VLOOKUP(MIN(BF217,BF218,BF219,BF220,BF221,BF222),Listados!$J$27:$K$32,2,TRUE)</f>
        <v>#N/A</v>
      </c>
      <c r="BI217" s="712" t="e">
        <f>IF(AND(BG217&lt;&gt;"",BH217&lt;&gt;""),VLOOKUP(BG217&amp;BH217,Listados!$M$3:$N$27,2,FALSE),"")</f>
        <v>#N/A</v>
      </c>
      <c r="BJ217" s="802" t="e">
        <f>+IF($R217="Asumir el riesgo","NA","")</f>
        <v>#N/A</v>
      </c>
      <c r="BK217" s="802" t="e">
        <f>+IF($R217="Asumir el riesgo","NA","")</f>
        <v>#N/A</v>
      </c>
      <c r="BL217" s="802" t="e">
        <f>+IF($R217="Asumir el riesgo","NA","")</f>
        <v>#N/A</v>
      </c>
      <c r="BM217" s="802" t="e">
        <f>+IF($R217="Asumir el riesgo","NA","")</f>
        <v>#N/A</v>
      </c>
    </row>
    <row r="218" spans="1:65" ht="65.150000000000006" customHeight="1" thickBot="1">
      <c r="A218" s="724"/>
      <c r="B218" s="812"/>
      <c r="C218" s="730"/>
      <c r="D218" s="158"/>
      <c r="E218" s="158"/>
      <c r="F218" s="814"/>
      <c r="G218" s="736"/>
      <c r="H218" s="105"/>
      <c r="I218" s="161"/>
      <c r="J218" s="105"/>
      <c r="K218" s="160"/>
      <c r="L218" s="150"/>
      <c r="M218" s="727"/>
      <c r="N218" s="720"/>
      <c r="O218" s="810"/>
      <c r="P218" s="720"/>
      <c r="Q218" s="715"/>
      <c r="R218" s="713"/>
      <c r="S218" s="140"/>
      <c r="T218" s="180"/>
      <c r="U218" s="52" t="s">
        <v>467</v>
      </c>
      <c r="V218" s="145"/>
      <c r="W218" s="145"/>
      <c r="X218" s="145"/>
      <c r="Y218" s="99" t="str">
        <f t="shared" si="37"/>
        <v/>
      </c>
      <c r="Z218" s="145"/>
      <c r="AA218" s="99" t="str">
        <f t="shared" si="38"/>
        <v/>
      </c>
      <c r="AB218" s="140"/>
      <c r="AC218" s="99" t="str">
        <f t="shared" si="39"/>
        <v/>
      </c>
      <c r="AD218" s="140"/>
      <c r="AE218" s="99" t="str">
        <f t="shared" si="40"/>
        <v/>
      </c>
      <c r="AF218" s="140"/>
      <c r="AG218" s="99" t="str">
        <f t="shared" si="41"/>
        <v/>
      </c>
      <c r="AH218" s="140"/>
      <c r="AI218" s="99" t="str">
        <f t="shared" si="42"/>
        <v/>
      </c>
      <c r="AJ218" s="140"/>
      <c r="AK218" s="28" t="str">
        <f t="shared" si="43"/>
        <v/>
      </c>
      <c r="AL218" s="111" t="str">
        <f t="shared" si="44"/>
        <v/>
      </c>
      <c r="AM218" s="111" t="str">
        <f t="shared" si="45"/>
        <v/>
      </c>
      <c r="AN218" s="178"/>
      <c r="AO218" s="178"/>
      <c r="AP218" s="178"/>
      <c r="AQ218" s="178"/>
      <c r="AR218" s="178"/>
      <c r="AS218" s="178"/>
      <c r="AT218" s="178"/>
      <c r="AU218" s="179" t="str">
        <f>IFERROR(VLOOKUP(AT218,'Seguridad Información'!$I$61:$J$65,2,0),"")</f>
        <v/>
      </c>
      <c r="AV218" s="83"/>
      <c r="AW218" s="82" t="str">
        <f t="shared" si="36"/>
        <v/>
      </c>
      <c r="AX218" s="81" t="str">
        <f t="shared" si="46"/>
        <v/>
      </c>
      <c r="AY218" s="22" t="str">
        <f>IFERROR(VLOOKUP((CONCATENATE(AM218,AX218)),Listados!$U$3:$V$11,2,FALSE),"")</f>
        <v/>
      </c>
      <c r="AZ218" s="111">
        <f t="shared" si="47"/>
        <v>100</v>
      </c>
      <c r="BA218" s="717"/>
      <c r="BB218" s="761"/>
      <c r="BC218" s="142">
        <f>+IF(AND(W218="Preventivo",BB217="Fuerte"),2,IF(AND(W218="Preventivo",BB217="Moderado"),1,0))</f>
        <v>0</v>
      </c>
      <c r="BD218" s="68">
        <f>+IF(AND(W218="Detectivo/Correctivo",$BB217="Fuerte"),2,IF(AND(W218="Detectivo/Correctivo",$BB218="Moderado"),1,IF(AND(W218="Preventivo",$BB217="Fuerte"),1,0)))</f>
        <v>0</v>
      </c>
      <c r="BE218" s="142" t="e">
        <f>+N217-BC218</f>
        <v>#N/A</v>
      </c>
      <c r="BF218" s="142" t="e">
        <f>+P217-BD218</f>
        <v>#N/A</v>
      </c>
      <c r="BG218" s="713"/>
      <c r="BH218" s="713"/>
      <c r="BI218" s="713"/>
      <c r="BJ218" s="803"/>
      <c r="BK218" s="803"/>
      <c r="BL218" s="803"/>
      <c r="BM218" s="803"/>
    </row>
    <row r="219" spans="1:65" ht="65.150000000000006" customHeight="1" thickBot="1">
      <c r="A219" s="724"/>
      <c r="B219" s="812"/>
      <c r="C219" s="730"/>
      <c r="D219" s="158"/>
      <c r="E219" s="158"/>
      <c r="F219" s="814"/>
      <c r="G219" s="736"/>
      <c r="H219" s="105"/>
      <c r="I219" s="161"/>
      <c r="J219" s="105"/>
      <c r="K219" s="160"/>
      <c r="L219" s="150"/>
      <c r="M219" s="727"/>
      <c r="N219" s="720"/>
      <c r="O219" s="810"/>
      <c r="P219" s="720"/>
      <c r="Q219" s="715"/>
      <c r="R219" s="713"/>
      <c r="S219" s="140"/>
      <c r="T219" s="100"/>
      <c r="U219" s="52" t="s">
        <v>467</v>
      </c>
      <c r="V219" s="145"/>
      <c r="W219" s="145"/>
      <c r="X219" s="145"/>
      <c r="Y219" s="99" t="str">
        <f t="shared" si="37"/>
        <v/>
      </c>
      <c r="Z219" s="145"/>
      <c r="AA219" s="99" t="str">
        <f t="shared" si="38"/>
        <v/>
      </c>
      <c r="AB219" s="140"/>
      <c r="AC219" s="99" t="str">
        <f t="shared" si="39"/>
        <v/>
      </c>
      <c r="AD219" s="140"/>
      <c r="AE219" s="99" t="str">
        <f t="shared" si="40"/>
        <v/>
      </c>
      <c r="AF219" s="140"/>
      <c r="AG219" s="99" t="str">
        <f t="shared" si="41"/>
        <v/>
      </c>
      <c r="AH219" s="140"/>
      <c r="AI219" s="99" t="str">
        <f t="shared" si="42"/>
        <v/>
      </c>
      <c r="AJ219" s="140"/>
      <c r="AK219" s="28" t="str">
        <f t="shared" si="43"/>
        <v/>
      </c>
      <c r="AL219" s="111" t="str">
        <f t="shared" si="44"/>
        <v/>
      </c>
      <c r="AM219" s="111" t="str">
        <f t="shared" si="45"/>
        <v/>
      </c>
      <c r="AN219" s="178"/>
      <c r="AO219" s="178"/>
      <c r="AP219" s="178"/>
      <c r="AQ219" s="178"/>
      <c r="AR219" s="178"/>
      <c r="AS219" s="178"/>
      <c r="AT219" s="178"/>
      <c r="AU219" s="179" t="str">
        <f>IFERROR(VLOOKUP(AT219,'Seguridad Información'!$I$61:$J$65,2,0),"")</f>
        <v/>
      </c>
      <c r="AV219" s="83"/>
      <c r="AW219" s="82" t="str">
        <f t="shared" si="36"/>
        <v/>
      </c>
      <c r="AX219" s="81" t="str">
        <f t="shared" si="46"/>
        <v/>
      </c>
      <c r="AY219" s="22" t="str">
        <f>IFERROR(VLOOKUP((CONCATENATE(AM219,AX219)),Listados!$U$3:$V$11,2,FALSE),"")</f>
        <v/>
      </c>
      <c r="AZ219" s="111">
        <f t="shared" si="47"/>
        <v>100</v>
      </c>
      <c r="BA219" s="717"/>
      <c r="BB219" s="761"/>
      <c r="BC219" s="142">
        <f>+IF(AND(W219="Preventivo",BB217="Fuerte"),2,IF(AND(W219="Preventivo",BB217="Moderado"),1,0))</f>
        <v>0</v>
      </c>
      <c r="BD219" s="68">
        <f>+IF(AND(W219="Detectivo/Correctivo",$BB217="Fuerte"),2,IF(AND(W219="Detectivo/Correctivo",$BB219="Moderado"),1,IF(AND(W219="Preventivo",$BB217="Fuerte"),1,0)))</f>
        <v>0</v>
      </c>
      <c r="BE219" s="142" t="e">
        <f>+N217-BC219</f>
        <v>#N/A</v>
      </c>
      <c r="BF219" s="142" t="e">
        <f>+P217-BD219</f>
        <v>#N/A</v>
      </c>
      <c r="BG219" s="713"/>
      <c r="BH219" s="713"/>
      <c r="BI219" s="713"/>
      <c r="BJ219" s="803"/>
      <c r="BK219" s="803"/>
      <c r="BL219" s="803"/>
      <c r="BM219" s="803"/>
    </row>
    <row r="220" spans="1:65" ht="65.150000000000006" customHeight="1" thickBot="1">
      <c r="A220" s="724"/>
      <c r="B220" s="812"/>
      <c r="C220" s="730"/>
      <c r="D220" s="158"/>
      <c r="E220" s="158"/>
      <c r="F220" s="814"/>
      <c r="G220" s="736"/>
      <c r="H220" s="105"/>
      <c r="I220" s="161"/>
      <c r="J220" s="105"/>
      <c r="K220" s="160"/>
      <c r="L220" s="150"/>
      <c r="M220" s="727"/>
      <c r="N220" s="720"/>
      <c r="O220" s="810"/>
      <c r="P220" s="720"/>
      <c r="Q220" s="715"/>
      <c r="R220" s="713"/>
      <c r="S220" s="140"/>
      <c r="T220" s="101"/>
      <c r="U220" s="52" t="s">
        <v>467</v>
      </c>
      <c r="V220" s="145"/>
      <c r="W220" s="145"/>
      <c r="X220" s="145"/>
      <c r="Y220" s="99" t="str">
        <f t="shared" si="37"/>
        <v/>
      </c>
      <c r="Z220" s="145"/>
      <c r="AA220" s="99" t="str">
        <f t="shared" si="38"/>
        <v/>
      </c>
      <c r="AB220" s="140"/>
      <c r="AC220" s="99" t="str">
        <f t="shared" si="39"/>
        <v/>
      </c>
      <c r="AD220" s="140"/>
      <c r="AE220" s="99" t="str">
        <f t="shared" si="40"/>
        <v/>
      </c>
      <c r="AF220" s="140"/>
      <c r="AG220" s="99" t="str">
        <f t="shared" si="41"/>
        <v/>
      </c>
      <c r="AH220" s="140"/>
      <c r="AI220" s="99" t="str">
        <f t="shared" si="42"/>
        <v/>
      </c>
      <c r="AJ220" s="140"/>
      <c r="AK220" s="28" t="str">
        <f t="shared" si="43"/>
        <v/>
      </c>
      <c r="AL220" s="111" t="str">
        <f t="shared" si="44"/>
        <v/>
      </c>
      <c r="AM220" s="111" t="str">
        <f t="shared" si="45"/>
        <v/>
      </c>
      <c r="AN220" s="178"/>
      <c r="AO220" s="178"/>
      <c r="AP220" s="178"/>
      <c r="AQ220" s="178"/>
      <c r="AR220" s="178"/>
      <c r="AS220" s="178"/>
      <c r="AT220" s="178"/>
      <c r="AU220" s="179" t="str">
        <f>IFERROR(VLOOKUP(AT220,'Seguridad Información'!$I$61:$J$65,2,0),"")</f>
        <v/>
      </c>
      <c r="AV220" s="83"/>
      <c r="AW220" s="82" t="str">
        <f t="shared" si="36"/>
        <v/>
      </c>
      <c r="AX220" s="81" t="str">
        <f t="shared" si="46"/>
        <v/>
      </c>
      <c r="AY220" s="22" t="str">
        <f>IFERROR(VLOOKUP((CONCATENATE(AM220,AX220)),Listados!$U$3:$V$11,2,FALSE),"")</f>
        <v/>
      </c>
      <c r="AZ220" s="111">
        <f t="shared" si="47"/>
        <v>100</v>
      </c>
      <c r="BA220" s="717"/>
      <c r="BB220" s="761"/>
      <c r="BC220" s="142">
        <f>+IF(AND(W220="Preventivo",BB217="Fuerte"),2,IF(AND(W220="Preventivo",BB217="Moderado"),1,0))</f>
        <v>0</v>
      </c>
      <c r="BD220" s="68">
        <f>+IF(AND(W220="Detectivo/Correctivo",$BB217="Fuerte"),2,IF(AND(W220="Detectivo/Correctivo",$BB220="Moderado"),1,IF(AND(W220="Preventivo",$BB217="Fuerte"),1,0)))</f>
        <v>0</v>
      </c>
      <c r="BE220" s="142" t="e">
        <f>+N217-BC220</f>
        <v>#N/A</v>
      </c>
      <c r="BF220" s="142" t="e">
        <f>+P217-BD220</f>
        <v>#N/A</v>
      </c>
      <c r="BG220" s="713"/>
      <c r="BH220" s="713"/>
      <c r="BI220" s="713"/>
      <c r="BJ220" s="803"/>
      <c r="BK220" s="803"/>
      <c r="BL220" s="803"/>
      <c r="BM220" s="803"/>
    </row>
    <row r="221" spans="1:65" ht="65.150000000000006" customHeight="1" thickBot="1">
      <c r="A221" s="724"/>
      <c r="B221" s="812"/>
      <c r="C221" s="730"/>
      <c r="D221" s="116"/>
      <c r="E221" s="116"/>
      <c r="F221" s="814"/>
      <c r="G221" s="736"/>
      <c r="H221" s="105"/>
      <c r="I221" s="161"/>
      <c r="J221" s="105"/>
      <c r="K221" s="29"/>
      <c r="L221" s="150"/>
      <c r="M221" s="727"/>
      <c r="N221" s="720"/>
      <c r="O221" s="810"/>
      <c r="P221" s="720"/>
      <c r="Q221" s="715"/>
      <c r="R221" s="713"/>
      <c r="S221" s="140"/>
      <c r="T221" s="180"/>
      <c r="U221" s="52" t="s">
        <v>467</v>
      </c>
      <c r="V221" s="145"/>
      <c r="W221" s="145"/>
      <c r="X221" s="145"/>
      <c r="Y221" s="99" t="str">
        <f t="shared" si="37"/>
        <v/>
      </c>
      <c r="Z221" s="145"/>
      <c r="AA221" s="99" t="str">
        <f t="shared" si="38"/>
        <v/>
      </c>
      <c r="AB221" s="140"/>
      <c r="AC221" s="99" t="str">
        <f t="shared" si="39"/>
        <v/>
      </c>
      <c r="AD221" s="140"/>
      <c r="AE221" s="99" t="str">
        <f t="shared" si="40"/>
        <v/>
      </c>
      <c r="AF221" s="140"/>
      <c r="AG221" s="99" t="str">
        <f t="shared" si="41"/>
        <v/>
      </c>
      <c r="AH221" s="140"/>
      <c r="AI221" s="99" t="str">
        <f t="shared" si="42"/>
        <v/>
      </c>
      <c r="AJ221" s="140"/>
      <c r="AK221" s="28" t="str">
        <f t="shared" si="43"/>
        <v/>
      </c>
      <c r="AL221" s="111" t="str">
        <f t="shared" si="44"/>
        <v/>
      </c>
      <c r="AM221" s="111" t="str">
        <f t="shared" si="45"/>
        <v/>
      </c>
      <c r="AN221" s="178"/>
      <c r="AO221" s="178"/>
      <c r="AP221" s="178"/>
      <c r="AQ221" s="178"/>
      <c r="AR221" s="178"/>
      <c r="AS221" s="178"/>
      <c r="AT221" s="178"/>
      <c r="AU221" s="179" t="str">
        <f>IFERROR(VLOOKUP(AT221,'Seguridad Información'!$I$61:$J$65,2,0),"")</f>
        <v/>
      </c>
      <c r="AV221" s="83"/>
      <c r="AW221" s="82" t="str">
        <f t="shared" si="36"/>
        <v/>
      </c>
      <c r="AX221" s="81" t="str">
        <f t="shared" si="46"/>
        <v/>
      </c>
      <c r="AY221" s="22" t="str">
        <f>IFERROR(VLOOKUP((CONCATENATE(AM221,AX221)),Listados!$U$3:$V$11,2,FALSE),"")</f>
        <v/>
      </c>
      <c r="AZ221" s="111">
        <f t="shared" si="47"/>
        <v>100</v>
      </c>
      <c r="BA221" s="717"/>
      <c r="BB221" s="761"/>
      <c r="BC221" s="142">
        <f>+IF(AND(W221="Preventivo",BB217="Fuerte"),2,IF(AND(W221="Preventivo",BB217="Moderado"),1,0))</f>
        <v>0</v>
      </c>
      <c r="BD221" s="68">
        <f>+IF(AND(W221="Detectivo/Correctivo",$BB217="Fuerte"),2,IF(AND(W221="Detectivo/Correctivo",$BB221="Moderado"),1,IF(AND(W221="Preventivo",$BB217="Fuerte"),1,0)))</f>
        <v>0</v>
      </c>
      <c r="BE221" s="142" t="e">
        <f>+N217-BC221</f>
        <v>#N/A</v>
      </c>
      <c r="BF221" s="142" t="e">
        <f>+P217-BD221</f>
        <v>#N/A</v>
      </c>
      <c r="BG221" s="713"/>
      <c r="BH221" s="713"/>
      <c r="BI221" s="713"/>
      <c r="BJ221" s="803"/>
      <c r="BK221" s="803"/>
      <c r="BL221" s="803"/>
      <c r="BM221" s="803"/>
    </row>
    <row r="222" spans="1:65" ht="65.150000000000006" customHeight="1" thickBot="1">
      <c r="A222" s="725"/>
      <c r="B222" s="812"/>
      <c r="C222" s="731"/>
      <c r="D222" s="113"/>
      <c r="E222" s="113"/>
      <c r="F222" s="815"/>
      <c r="G222" s="781"/>
      <c r="H222" s="105"/>
      <c r="I222" s="161"/>
      <c r="J222" s="105"/>
      <c r="K222" s="30"/>
      <c r="L222" s="150"/>
      <c r="M222" s="727"/>
      <c r="N222" s="721"/>
      <c r="O222" s="810"/>
      <c r="P222" s="721"/>
      <c r="Q222" s="715"/>
      <c r="R222" s="714"/>
      <c r="S222" s="140"/>
      <c r="T222" s="102"/>
      <c r="U222" s="52" t="s">
        <v>467</v>
      </c>
      <c r="V222" s="145"/>
      <c r="W222" s="145"/>
      <c r="X222" s="145"/>
      <c r="Y222" s="99" t="str">
        <f t="shared" si="37"/>
        <v/>
      </c>
      <c r="Z222" s="145"/>
      <c r="AA222" s="99" t="str">
        <f t="shared" si="38"/>
        <v/>
      </c>
      <c r="AB222" s="140"/>
      <c r="AC222" s="99" t="str">
        <f t="shared" si="39"/>
        <v/>
      </c>
      <c r="AD222" s="140"/>
      <c r="AE222" s="99" t="str">
        <f t="shared" si="40"/>
        <v/>
      </c>
      <c r="AF222" s="140"/>
      <c r="AG222" s="99" t="str">
        <f t="shared" si="41"/>
        <v/>
      </c>
      <c r="AH222" s="140"/>
      <c r="AI222" s="99" t="str">
        <f t="shared" si="42"/>
        <v/>
      </c>
      <c r="AJ222" s="140"/>
      <c r="AK222" s="28" t="str">
        <f t="shared" si="43"/>
        <v/>
      </c>
      <c r="AL222" s="111" t="str">
        <f t="shared" si="44"/>
        <v/>
      </c>
      <c r="AM222" s="111" t="str">
        <f t="shared" si="45"/>
        <v/>
      </c>
      <c r="AN222" s="178"/>
      <c r="AO222" s="178"/>
      <c r="AP222" s="178"/>
      <c r="AQ222" s="178"/>
      <c r="AR222" s="178"/>
      <c r="AS222" s="178"/>
      <c r="AT222" s="178"/>
      <c r="AU222" s="179" t="str">
        <f>IFERROR(VLOOKUP(AT222,'Seguridad Información'!$I$61:$J$65,2,0),"")</f>
        <v/>
      </c>
      <c r="AV222" s="83"/>
      <c r="AW222" s="82" t="str">
        <f t="shared" si="36"/>
        <v/>
      </c>
      <c r="AX222" s="81" t="str">
        <f t="shared" si="46"/>
        <v/>
      </c>
      <c r="AY222" s="22" t="str">
        <f>IFERROR(VLOOKUP((CONCATENATE(AM222,AX222)),Listados!$U$3:$V$11,2,FALSE),"")</f>
        <v/>
      </c>
      <c r="AZ222" s="111">
        <f t="shared" si="47"/>
        <v>100</v>
      </c>
      <c r="BA222" s="718"/>
      <c r="BB222" s="761"/>
      <c r="BC222" s="142">
        <f>+IF(AND(W222="Preventivo",BB217="Fuerte"),2,IF(AND(W222="Preventivo",BB217="Moderado"),1,0))</f>
        <v>0</v>
      </c>
      <c r="BD222" s="68">
        <f>+IF(AND(W222="Detectivo/Correctivo",$BB217="Fuerte"),2,IF(AND(W222="Detectivo/Correctivo",$BB222="Moderado"),1,IF(AND(W222="Preventivo",$BB217="Fuerte"),1,0)))</f>
        <v>0</v>
      </c>
      <c r="BE222" s="142" t="e">
        <f>+N217-BC222</f>
        <v>#N/A</v>
      </c>
      <c r="BF222" s="142" t="e">
        <f>+P217-BD222</f>
        <v>#N/A</v>
      </c>
      <c r="BG222" s="714"/>
      <c r="BH222" s="714"/>
      <c r="BI222" s="714"/>
      <c r="BJ222" s="804"/>
      <c r="BK222" s="804"/>
      <c r="BL222" s="804"/>
      <c r="BM222" s="804"/>
    </row>
    <row r="223" spans="1:65" ht="65.150000000000006" customHeight="1" thickBot="1">
      <c r="A223" s="723">
        <v>37</v>
      </c>
      <c r="B223" s="811"/>
      <c r="C223" s="729" t="str">
        <f>IFERROR(VLOOKUP(B223,Listados!B$3:C$20,2,FALSE),"")</f>
        <v/>
      </c>
      <c r="D223" s="114"/>
      <c r="E223" s="114"/>
      <c r="F223" s="813"/>
      <c r="G223" s="735"/>
      <c r="H223" s="105"/>
      <c r="I223" s="161"/>
      <c r="J223" s="105"/>
      <c r="K223" s="109"/>
      <c r="L223" s="18"/>
      <c r="M223" s="762"/>
      <c r="N223" s="719" t="e">
        <f>+VLOOKUP(M223,Listados!$K$8:$L$12,2,0)</f>
        <v>#N/A</v>
      </c>
      <c r="O223" s="809"/>
      <c r="P223" s="719" t="e">
        <f>+VLOOKUP(O223,Listados!$K$13:$L$17,2,0)</f>
        <v>#N/A</v>
      </c>
      <c r="Q223" s="714" t="str">
        <f>IF(AND(M223&lt;&gt;"",O223&lt;&gt;""),VLOOKUP(M223&amp;O223,Listados!$M$3:$N$27,2,FALSE),"")</f>
        <v/>
      </c>
      <c r="R223" s="712" t="e">
        <f>+VLOOKUP(Q223,Listados!$P$3:$Q$6,2,FALSE)</f>
        <v>#N/A</v>
      </c>
      <c r="S223" s="140"/>
      <c r="T223" s="98"/>
      <c r="U223" s="52" t="s">
        <v>467</v>
      </c>
      <c r="V223" s="145"/>
      <c r="W223" s="145"/>
      <c r="X223" s="145"/>
      <c r="Y223" s="99" t="str">
        <f t="shared" si="37"/>
        <v/>
      </c>
      <c r="Z223" s="145"/>
      <c r="AA223" s="99" t="str">
        <f t="shared" si="38"/>
        <v/>
      </c>
      <c r="AB223" s="140"/>
      <c r="AC223" s="99" t="str">
        <f t="shared" si="39"/>
        <v/>
      </c>
      <c r="AD223" s="140"/>
      <c r="AE223" s="99" t="str">
        <f t="shared" si="40"/>
        <v/>
      </c>
      <c r="AF223" s="140"/>
      <c r="AG223" s="99" t="str">
        <f t="shared" si="41"/>
        <v/>
      </c>
      <c r="AH223" s="140"/>
      <c r="AI223" s="99" t="str">
        <f t="shared" si="42"/>
        <v/>
      </c>
      <c r="AJ223" s="140"/>
      <c r="AK223" s="28" t="str">
        <f t="shared" si="43"/>
        <v/>
      </c>
      <c r="AL223" s="111" t="str">
        <f t="shared" si="44"/>
        <v/>
      </c>
      <c r="AM223" s="111" t="str">
        <f t="shared" si="45"/>
        <v/>
      </c>
      <c r="AN223" s="178"/>
      <c r="AO223" s="178"/>
      <c r="AP223" s="178"/>
      <c r="AQ223" s="178"/>
      <c r="AR223" s="178"/>
      <c r="AS223" s="178"/>
      <c r="AT223" s="178"/>
      <c r="AU223" s="179" t="str">
        <f>IFERROR(VLOOKUP(AT223,'Seguridad Información'!$I$61:$J$65,2,0),"")</f>
        <v/>
      </c>
      <c r="AV223" s="83"/>
      <c r="AW223" s="82" t="str">
        <f t="shared" si="36"/>
        <v/>
      </c>
      <c r="AX223" s="81" t="str">
        <f t="shared" si="46"/>
        <v/>
      </c>
      <c r="AY223" s="22" t="str">
        <f>IFERROR(VLOOKUP((CONCATENATE(AM223,AX223)),Listados!$U$3:$V$11,2,FALSE),"")</f>
        <v/>
      </c>
      <c r="AZ223" s="111">
        <f t="shared" si="47"/>
        <v>100</v>
      </c>
      <c r="BA223" s="716">
        <f>AVERAGE(AZ223:AZ228)</f>
        <v>100</v>
      </c>
      <c r="BB223" s="718" t="str">
        <f>IF(BA223&lt;=50, "Débil", IF(BA223&lt;=99,"Moderado","Fuerte"))</f>
        <v>Fuerte</v>
      </c>
      <c r="BC223" s="142">
        <f>+IF(AND(W223="Preventivo",BB223="Fuerte"),2,IF(AND(W223="Preventivo",BB223="Moderado"),1,0))</f>
        <v>0</v>
      </c>
      <c r="BD223" s="68">
        <f>+IF(AND(W223="Detectivo/Correctivo",$BB223="Fuerte"),2,IF(AND(W223="Detectivo/Correctivo",$BB223="Moderado"),1,IF(AND(W223="Preventivo",$BB223="Fuerte"),1,0)))</f>
        <v>0</v>
      </c>
      <c r="BE223" s="142" t="e">
        <f>+N223-BC223</f>
        <v>#N/A</v>
      </c>
      <c r="BF223" s="142" t="e">
        <f>+P223-BD223</f>
        <v>#N/A</v>
      </c>
      <c r="BG223" s="712" t="e">
        <f>+VLOOKUP(MIN(BE223,BE224,BE225,BE226,BE227,BE228),Listados!$J$18:$K$24,2,TRUE)</f>
        <v>#N/A</v>
      </c>
      <c r="BH223" s="712" t="e">
        <f>+VLOOKUP(MIN(BF223,BF224,BF225,BF226,BF227,BF228),Listados!$J$27:$K$32,2,TRUE)</f>
        <v>#N/A</v>
      </c>
      <c r="BI223" s="712" t="e">
        <f>IF(AND(BG223&lt;&gt;"",BH223&lt;&gt;""),VLOOKUP(BG223&amp;BH223,Listados!$M$3:$N$27,2,FALSE),"")</f>
        <v>#N/A</v>
      </c>
      <c r="BJ223" s="802" t="e">
        <f>+IF($R223="Asumir el riesgo","NA","")</f>
        <v>#N/A</v>
      </c>
      <c r="BK223" s="802" t="e">
        <f>+IF($R223="Asumir el riesgo","NA","")</f>
        <v>#N/A</v>
      </c>
      <c r="BL223" s="802" t="e">
        <f>+IF($R223="Asumir el riesgo","NA","")</f>
        <v>#N/A</v>
      </c>
      <c r="BM223" s="802" t="e">
        <f>+IF($R223="Asumir el riesgo","NA","")</f>
        <v>#N/A</v>
      </c>
    </row>
    <row r="224" spans="1:65" ht="65.150000000000006" customHeight="1" thickBot="1">
      <c r="A224" s="724"/>
      <c r="B224" s="812"/>
      <c r="C224" s="730"/>
      <c r="D224" s="158"/>
      <c r="E224" s="158"/>
      <c r="F224" s="814"/>
      <c r="G224" s="736"/>
      <c r="H224" s="105"/>
      <c r="I224" s="161"/>
      <c r="J224" s="105"/>
      <c r="K224" s="160"/>
      <c r="L224" s="150"/>
      <c r="M224" s="727"/>
      <c r="N224" s="720"/>
      <c r="O224" s="810"/>
      <c r="P224" s="720"/>
      <c r="Q224" s="715"/>
      <c r="R224" s="713"/>
      <c r="S224" s="140"/>
      <c r="T224" s="180"/>
      <c r="U224" s="52" t="s">
        <v>467</v>
      </c>
      <c r="V224" s="145"/>
      <c r="W224" s="145"/>
      <c r="X224" s="145"/>
      <c r="Y224" s="99" t="str">
        <f t="shared" si="37"/>
        <v/>
      </c>
      <c r="Z224" s="145"/>
      <c r="AA224" s="99" t="str">
        <f t="shared" si="38"/>
        <v/>
      </c>
      <c r="AB224" s="140"/>
      <c r="AC224" s="99" t="str">
        <f t="shared" si="39"/>
        <v/>
      </c>
      <c r="AD224" s="140"/>
      <c r="AE224" s="99" t="str">
        <f t="shared" si="40"/>
        <v/>
      </c>
      <c r="AF224" s="140"/>
      <c r="AG224" s="99" t="str">
        <f t="shared" si="41"/>
        <v/>
      </c>
      <c r="AH224" s="140"/>
      <c r="AI224" s="99" t="str">
        <f t="shared" si="42"/>
        <v/>
      </c>
      <c r="AJ224" s="140"/>
      <c r="AK224" s="28" t="str">
        <f t="shared" si="43"/>
        <v/>
      </c>
      <c r="AL224" s="111" t="str">
        <f t="shared" si="44"/>
        <v/>
      </c>
      <c r="AM224" s="111" t="str">
        <f t="shared" si="45"/>
        <v/>
      </c>
      <c r="AN224" s="178"/>
      <c r="AO224" s="178"/>
      <c r="AP224" s="178"/>
      <c r="AQ224" s="178"/>
      <c r="AR224" s="178"/>
      <c r="AS224" s="178"/>
      <c r="AT224" s="178"/>
      <c r="AU224" s="179" t="str">
        <f>IFERROR(VLOOKUP(AT224,'Seguridad Información'!$I$61:$J$65,2,0),"")</f>
        <v/>
      </c>
      <c r="AV224" s="83"/>
      <c r="AW224" s="82" t="str">
        <f t="shared" si="36"/>
        <v/>
      </c>
      <c r="AX224" s="81" t="str">
        <f t="shared" si="46"/>
        <v/>
      </c>
      <c r="AY224" s="22" t="str">
        <f>IFERROR(VLOOKUP((CONCATENATE(AM224,AX224)),Listados!$U$3:$V$11,2,FALSE),"")</f>
        <v/>
      </c>
      <c r="AZ224" s="111">
        <f t="shared" si="47"/>
        <v>100</v>
      </c>
      <c r="BA224" s="717"/>
      <c r="BB224" s="761"/>
      <c r="BC224" s="142">
        <f>+IF(AND(W224="Preventivo",BB223="Fuerte"),2,IF(AND(W224="Preventivo",BB223="Moderado"),1,0))</f>
        <v>0</v>
      </c>
      <c r="BD224" s="68">
        <f>+IF(AND(W224="Detectivo/Correctivo",$BB223="Fuerte"),2,IF(AND(W224="Detectivo/Correctivo",$BB224="Moderado"),1,IF(AND(W224="Preventivo",$BB223="Fuerte"),1,0)))</f>
        <v>0</v>
      </c>
      <c r="BE224" s="142" t="e">
        <f>+N223-BC224</f>
        <v>#N/A</v>
      </c>
      <c r="BF224" s="142" t="e">
        <f>+P223-BD224</f>
        <v>#N/A</v>
      </c>
      <c r="BG224" s="713"/>
      <c r="BH224" s="713"/>
      <c r="BI224" s="713"/>
      <c r="BJ224" s="803"/>
      <c r="BK224" s="803"/>
      <c r="BL224" s="803"/>
      <c r="BM224" s="803"/>
    </row>
    <row r="225" spans="1:65" ht="65.150000000000006" customHeight="1" thickBot="1">
      <c r="A225" s="724"/>
      <c r="B225" s="812"/>
      <c r="C225" s="730"/>
      <c r="D225" s="158"/>
      <c r="E225" s="158"/>
      <c r="F225" s="814"/>
      <c r="G225" s="736"/>
      <c r="H225" s="105"/>
      <c r="I225" s="161"/>
      <c r="J225" s="105"/>
      <c r="K225" s="160"/>
      <c r="L225" s="150"/>
      <c r="M225" s="727"/>
      <c r="N225" s="720"/>
      <c r="O225" s="810"/>
      <c r="P225" s="720"/>
      <c r="Q225" s="715"/>
      <c r="R225" s="713"/>
      <c r="S225" s="140"/>
      <c r="T225" s="100"/>
      <c r="U225" s="52" t="s">
        <v>467</v>
      </c>
      <c r="V225" s="145"/>
      <c r="W225" s="145"/>
      <c r="X225" s="145"/>
      <c r="Y225" s="99" t="str">
        <f t="shared" si="37"/>
        <v/>
      </c>
      <c r="Z225" s="145"/>
      <c r="AA225" s="99" t="str">
        <f t="shared" si="38"/>
        <v/>
      </c>
      <c r="AB225" s="140"/>
      <c r="AC225" s="99" t="str">
        <f t="shared" si="39"/>
        <v/>
      </c>
      <c r="AD225" s="140"/>
      <c r="AE225" s="99" t="str">
        <f t="shared" si="40"/>
        <v/>
      </c>
      <c r="AF225" s="140"/>
      <c r="AG225" s="99" t="str">
        <f t="shared" si="41"/>
        <v/>
      </c>
      <c r="AH225" s="140"/>
      <c r="AI225" s="99" t="str">
        <f t="shared" si="42"/>
        <v/>
      </c>
      <c r="AJ225" s="140"/>
      <c r="AK225" s="28" t="str">
        <f t="shared" si="43"/>
        <v/>
      </c>
      <c r="AL225" s="111" t="str">
        <f t="shared" si="44"/>
        <v/>
      </c>
      <c r="AM225" s="111" t="str">
        <f t="shared" si="45"/>
        <v/>
      </c>
      <c r="AN225" s="178"/>
      <c r="AO225" s="178"/>
      <c r="AP225" s="178"/>
      <c r="AQ225" s="178"/>
      <c r="AR225" s="178"/>
      <c r="AS225" s="178"/>
      <c r="AT225" s="178"/>
      <c r="AU225" s="179" t="str">
        <f>IFERROR(VLOOKUP(AT225,'Seguridad Información'!$I$61:$J$65,2,0),"")</f>
        <v/>
      </c>
      <c r="AV225" s="83"/>
      <c r="AW225" s="82" t="str">
        <f t="shared" si="36"/>
        <v/>
      </c>
      <c r="AX225" s="81" t="str">
        <f t="shared" si="46"/>
        <v/>
      </c>
      <c r="AY225" s="22" t="str">
        <f>IFERROR(VLOOKUP((CONCATENATE(AM225,AX225)),Listados!$U$3:$V$11,2,FALSE),"")</f>
        <v/>
      </c>
      <c r="AZ225" s="111">
        <f t="shared" si="47"/>
        <v>100</v>
      </c>
      <c r="BA225" s="717"/>
      <c r="BB225" s="761"/>
      <c r="BC225" s="142">
        <f>+IF(AND(W225="Preventivo",BB223="Fuerte"),2,IF(AND(W225="Preventivo",BB223="Moderado"),1,0))</f>
        <v>0</v>
      </c>
      <c r="BD225" s="68">
        <f>+IF(AND(W225="Detectivo/Correctivo",$BB223="Fuerte"),2,IF(AND(W225="Detectivo/Correctivo",$BB225="Moderado"),1,IF(AND(W225="Preventivo",$BB223="Fuerte"),1,0)))</f>
        <v>0</v>
      </c>
      <c r="BE225" s="142" t="e">
        <f>+N223-BC225</f>
        <v>#N/A</v>
      </c>
      <c r="BF225" s="142" t="e">
        <f>+P223-BD225</f>
        <v>#N/A</v>
      </c>
      <c r="BG225" s="713"/>
      <c r="BH225" s="713"/>
      <c r="BI225" s="713"/>
      <c r="BJ225" s="803"/>
      <c r="BK225" s="803"/>
      <c r="BL225" s="803"/>
      <c r="BM225" s="803"/>
    </row>
    <row r="226" spans="1:65" ht="65.150000000000006" customHeight="1" thickBot="1">
      <c r="A226" s="724"/>
      <c r="B226" s="812"/>
      <c r="C226" s="730"/>
      <c r="D226" s="158"/>
      <c r="E226" s="158"/>
      <c r="F226" s="814"/>
      <c r="G226" s="736"/>
      <c r="H226" s="105"/>
      <c r="I226" s="161"/>
      <c r="J226" s="105"/>
      <c r="K226" s="160"/>
      <c r="L226" s="150"/>
      <c r="M226" s="727"/>
      <c r="N226" s="720"/>
      <c r="O226" s="810"/>
      <c r="P226" s="720"/>
      <c r="Q226" s="715"/>
      <c r="R226" s="713"/>
      <c r="S226" s="140"/>
      <c r="T226" s="101"/>
      <c r="U226" s="52" t="s">
        <v>467</v>
      </c>
      <c r="V226" s="145"/>
      <c r="W226" s="145"/>
      <c r="X226" s="145"/>
      <c r="Y226" s="99" t="str">
        <f t="shared" si="37"/>
        <v/>
      </c>
      <c r="Z226" s="145"/>
      <c r="AA226" s="99" t="str">
        <f t="shared" si="38"/>
        <v/>
      </c>
      <c r="AB226" s="140"/>
      <c r="AC226" s="99" t="str">
        <f t="shared" si="39"/>
        <v/>
      </c>
      <c r="AD226" s="140"/>
      <c r="AE226" s="99" t="str">
        <f t="shared" si="40"/>
        <v/>
      </c>
      <c r="AF226" s="140"/>
      <c r="AG226" s="99" t="str">
        <f t="shared" si="41"/>
        <v/>
      </c>
      <c r="AH226" s="140"/>
      <c r="AI226" s="99" t="str">
        <f t="shared" si="42"/>
        <v/>
      </c>
      <c r="AJ226" s="140"/>
      <c r="AK226" s="28" t="str">
        <f t="shared" si="43"/>
        <v/>
      </c>
      <c r="AL226" s="111" t="str">
        <f t="shared" si="44"/>
        <v/>
      </c>
      <c r="AM226" s="111" t="str">
        <f t="shared" si="45"/>
        <v/>
      </c>
      <c r="AN226" s="178"/>
      <c r="AO226" s="178"/>
      <c r="AP226" s="178"/>
      <c r="AQ226" s="178"/>
      <c r="AR226" s="178"/>
      <c r="AS226" s="178"/>
      <c r="AT226" s="178"/>
      <c r="AU226" s="179" t="str">
        <f>IFERROR(VLOOKUP(AT226,'Seguridad Información'!$I$61:$J$65,2,0),"")</f>
        <v/>
      </c>
      <c r="AV226" s="83"/>
      <c r="AW226" s="82" t="str">
        <f t="shared" si="36"/>
        <v/>
      </c>
      <c r="AX226" s="81" t="str">
        <f t="shared" si="46"/>
        <v/>
      </c>
      <c r="AY226" s="22" t="str">
        <f>IFERROR(VLOOKUP((CONCATENATE(AM226,AX226)),Listados!$U$3:$V$11,2,FALSE),"")</f>
        <v/>
      </c>
      <c r="AZ226" s="111">
        <f t="shared" si="47"/>
        <v>100</v>
      </c>
      <c r="BA226" s="717"/>
      <c r="BB226" s="761"/>
      <c r="BC226" s="142">
        <f>+IF(AND(W226="Preventivo",BB223="Fuerte"),2,IF(AND(W226="Preventivo",BB223="Moderado"),1,0))</f>
        <v>0</v>
      </c>
      <c r="BD226" s="68">
        <f>+IF(AND(W226="Detectivo/Correctivo",$BB223="Fuerte"),2,IF(AND(W226="Detectivo/Correctivo",$BB226="Moderado"),1,IF(AND(W226="Preventivo",$BB223="Fuerte"),1,0)))</f>
        <v>0</v>
      </c>
      <c r="BE226" s="142" t="e">
        <f>+N223-BC226</f>
        <v>#N/A</v>
      </c>
      <c r="BF226" s="142" t="e">
        <f>+P223-BD226</f>
        <v>#N/A</v>
      </c>
      <c r="BG226" s="713"/>
      <c r="BH226" s="713"/>
      <c r="BI226" s="713"/>
      <c r="BJ226" s="803"/>
      <c r="BK226" s="803"/>
      <c r="BL226" s="803"/>
      <c r="BM226" s="803"/>
    </row>
    <row r="227" spans="1:65" ht="65.150000000000006" customHeight="1" thickBot="1">
      <c r="A227" s="724"/>
      <c r="B227" s="812"/>
      <c r="C227" s="730"/>
      <c r="D227" s="116"/>
      <c r="E227" s="116"/>
      <c r="F227" s="814"/>
      <c r="G227" s="736"/>
      <c r="H227" s="105"/>
      <c r="I227" s="161"/>
      <c r="J227" s="105"/>
      <c r="K227" s="29"/>
      <c r="L227" s="150"/>
      <c r="M227" s="727"/>
      <c r="N227" s="720"/>
      <c r="O227" s="810"/>
      <c r="P227" s="720"/>
      <c r="Q227" s="715"/>
      <c r="R227" s="713"/>
      <c r="S227" s="140"/>
      <c r="T227" s="180"/>
      <c r="U227" s="52" t="s">
        <v>467</v>
      </c>
      <c r="V227" s="145"/>
      <c r="W227" s="145"/>
      <c r="X227" s="145"/>
      <c r="Y227" s="99" t="str">
        <f t="shared" si="37"/>
        <v/>
      </c>
      <c r="Z227" s="145"/>
      <c r="AA227" s="99" t="str">
        <f t="shared" si="38"/>
        <v/>
      </c>
      <c r="AB227" s="140"/>
      <c r="AC227" s="99" t="str">
        <f t="shared" si="39"/>
        <v/>
      </c>
      <c r="AD227" s="140"/>
      <c r="AE227" s="99" t="str">
        <f t="shared" si="40"/>
        <v/>
      </c>
      <c r="AF227" s="140"/>
      <c r="AG227" s="99" t="str">
        <f t="shared" si="41"/>
        <v/>
      </c>
      <c r="AH227" s="140"/>
      <c r="AI227" s="99" t="str">
        <f t="shared" si="42"/>
        <v/>
      </c>
      <c r="AJ227" s="140"/>
      <c r="AK227" s="28" t="str">
        <f t="shared" si="43"/>
        <v/>
      </c>
      <c r="AL227" s="111" t="str">
        <f t="shared" si="44"/>
        <v/>
      </c>
      <c r="AM227" s="111" t="str">
        <f t="shared" si="45"/>
        <v/>
      </c>
      <c r="AN227" s="178"/>
      <c r="AO227" s="178"/>
      <c r="AP227" s="178"/>
      <c r="AQ227" s="178"/>
      <c r="AR227" s="178"/>
      <c r="AS227" s="178"/>
      <c r="AT227" s="178"/>
      <c r="AU227" s="179" t="str">
        <f>IFERROR(VLOOKUP(AT227,'Seguridad Información'!$I$61:$J$65,2,0),"")</f>
        <v/>
      </c>
      <c r="AV227" s="83"/>
      <c r="AW227" s="82" t="str">
        <f t="shared" si="36"/>
        <v/>
      </c>
      <c r="AX227" s="81" t="str">
        <f t="shared" si="46"/>
        <v/>
      </c>
      <c r="AY227" s="22" t="str">
        <f>IFERROR(VLOOKUP((CONCATENATE(AM227,AX227)),Listados!$U$3:$V$11,2,FALSE),"")</f>
        <v/>
      </c>
      <c r="AZ227" s="111">
        <f t="shared" si="47"/>
        <v>100</v>
      </c>
      <c r="BA227" s="717"/>
      <c r="BB227" s="761"/>
      <c r="BC227" s="142">
        <f>+IF(AND(W227="Preventivo",BB223="Fuerte"),2,IF(AND(W227="Preventivo",BB223="Moderado"),1,0))</f>
        <v>0</v>
      </c>
      <c r="BD227" s="68">
        <f>+IF(AND(W227="Detectivo/Correctivo",$BB223="Fuerte"),2,IF(AND(W227="Detectivo/Correctivo",$BB227="Moderado"),1,IF(AND(W227="Preventivo",$BB223="Fuerte"),1,0)))</f>
        <v>0</v>
      </c>
      <c r="BE227" s="142" t="e">
        <f>+N223-BC227</f>
        <v>#N/A</v>
      </c>
      <c r="BF227" s="142" t="e">
        <f>+P223-BD227</f>
        <v>#N/A</v>
      </c>
      <c r="BG227" s="713"/>
      <c r="BH227" s="713"/>
      <c r="BI227" s="713"/>
      <c r="BJ227" s="803"/>
      <c r="BK227" s="803"/>
      <c r="BL227" s="803"/>
      <c r="BM227" s="803"/>
    </row>
    <row r="228" spans="1:65" ht="65.150000000000006" customHeight="1" thickBot="1">
      <c r="A228" s="725"/>
      <c r="B228" s="812"/>
      <c r="C228" s="731"/>
      <c r="D228" s="113"/>
      <c r="E228" s="113"/>
      <c r="F228" s="815"/>
      <c r="G228" s="781"/>
      <c r="H228" s="105"/>
      <c r="I228" s="161"/>
      <c r="J228" s="105"/>
      <c r="K228" s="30"/>
      <c r="L228" s="150"/>
      <c r="M228" s="727"/>
      <c r="N228" s="721"/>
      <c r="O228" s="810"/>
      <c r="P228" s="721"/>
      <c r="Q228" s="715"/>
      <c r="R228" s="714"/>
      <c r="S228" s="140"/>
      <c r="T228" s="102"/>
      <c r="U228" s="52" t="s">
        <v>467</v>
      </c>
      <c r="V228" s="145"/>
      <c r="W228" s="145"/>
      <c r="X228" s="145"/>
      <c r="Y228" s="99" t="str">
        <f t="shared" si="37"/>
        <v/>
      </c>
      <c r="Z228" s="145"/>
      <c r="AA228" s="99" t="str">
        <f t="shared" si="38"/>
        <v/>
      </c>
      <c r="AB228" s="140"/>
      <c r="AC228" s="99" t="str">
        <f t="shared" si="39"/>
        <v/>
      </c>
      <c r="AD228" s="140"/>
      <c r="AE228" s="99" t="str">
        <f t="shared" si="40"/>
        <v/>
      </c>
      <c r="AF228" s="140"/>
      <c r="AG228" s="99" t="str">
        <f t="shared" si="41"/>
        <v/>
      </c>
      <c r="AH228" s="140"/>
      <c r="AI228" s="99" t="str">
        <f t="shared" si="42"/>
        <v/>
      </c>
      <c r="AJ228" s="140"/>
      <c r="AK228" s="28" t="str">
        <f t="shared" si="43"/>
        <v/>
      </c>
      <c r="AL228" s="111" t="str">
        <f t="shared" si="44"/>
        <v/>
      </c>
      <c r="AM228" s="111" t="str">
        <f t="shared" si="45"/>
        <v/>
      </c>
      <c r="AN228" s="178"/>
      <c r="AO228" s="178"/>
      <c r="AP228" s="178"/>
      <c r="AQ228" s="178"/>
      <c r="AR228" s="178"/>
      <c r="AS228" s="178"/>
      <c r="AT228" s="178"/>
      <c r="AU228" s="179" t="str">
        <f>IFERROR(VLOOKUP(AT228,'Seguridad Información'!$I$61:$J$65,2,0),"")</f>
        <v/>
      </c>
      <c r="AV228" s="83"/>
      <c r="AW228" s="82" t="str">
        <f t="shared" si="36"/>
        <v/>
      </c>
      <c r="AX228" s="81" t="str">
        <f t="shared" si="46"/>
        <v/>
      </c>
      <c r="AY228" s="22" t="str">
        <f>IFERROR(VLOOKUP((CONCATENATE(AM228,AX228)),Listados!$U$3:$V$11,2,FALSE),"")</f>
        <v/>
      </c>
      <c r="AZ228" s="111">
        <f t="shared" si="47"/>
        <v>100</v>
      </c>
      <c r="BA228" s="718"/>
      <c r="BB228" s="761"/>
      <c r="BC228" s="142">
        <f>+IF(AND(W228="Preventivo",BB223="Fuerte"),2,IF(AND(W228="Preventivo",BB223="Moderado"),1,0))</f>
        <v>0</v>
      </c>
      <c r="BD228" s="68">
        <f>+IF(AND(W228="Detectivo/Correctivo",$BB223="Fuerte"),2,IF(AND(W228="Detectivo/Correctivo",$BB228="Moderado"),1,IF(AND(W228="Preventivo",$BB223="Fuerte"),1,0)))</f>
        <v>0</v>
      </c>
      <c r="BE228" s="142" t="e">
        <f>+N223-BC228</f>
        <v>#N/A</v>
      </c>
      <c r="BF228" s="142" t="e">
        <f>+P223-BD228</f>
        <v>#N/A</v>
      </c>
      <c r="BG228" s="714"/>
      <c r="BH228" s="714"/>
      <c r="BI228" s="714"/>
      <c r="BJ228" s="804"/>
      <c r="BK228" s="804"/>
      <c r="BL228" s="804"/>
      <c r="BM228" s="804"/>
    </row>
    <row r="229" spans="1:65" ht="65.150000000000006" customHeight="1" thickBot="1">
      <c r="A229" s="723">
        <v>38</v>
      </c>
      <c r="B229" s="811"/>
      <c r="C229" s="729" t="str">
        <f>IFERROR(VLOOKUP(B229,Listados!B$3:C$20,2,FALSE),"")</f>
        <v/>
      </c>
      <c r="D229" s="114"/>
      <c r="E229" s="114"/>
      <c r="F229" s="813"/>
      <c r="G229" s="735"/>
      <c r="H229" s="105"/>
      <c r="I229" s="161"/>
      <c r="J229" s="105"/>
      <c r="K229" s="109"/>
      <c r="L229" s="18"/>
      <c r="M229" s="762"/>
      <c r="N229" s="719" t="e">
        <f>+VLOOKUP(M229,Listados!$K$8:$L$12,2,0)</f>
        <v>#N/A</v>
      </c>
      <c r="O229" s="809"/>
      <c r="P229" s="719" t="e">
        <f>+VLOOKUP(O229,Listados!$K$13:$L$17,2,0)</f>
        <v>#N/A</v>
      </c>
      <c r="Q229" s="714" t="str">
        <f>IF(AND(M229&lt;&gt;"",O229&lt;&gt;""),VLOOKUP(M229&amp;O229,Listados!$M$3:$N$27,2,FALSE),"")</f>
        <v/>
      </c>
      <c r="R229" s="712" t="e">
        <f>+VLOOKUP(Q229,Listados!$P$3:$Q$6,2,FALSE)</f>
        <v>#N/A</v>
      </c>
      <c r="S229" s="140"/>
      <c r="T229" s="98"/>
      <c r="U229" s="52" t="s">
        <v>467</v>
      </c>
      <c r="V229" s="145"/>
      <c r="W229" s="145"/>
      <c r="X229" s="145"/>
      <c r="Y229" s="99" t="str">
        <f t="shared" si="37"/>
        <v/>
      </c>
      <c r="Z229" s="145"/>
      <c r="AA229" s="99" t="str">
        <f t="shared" si="38"/>
        <v/>
      </c>
      <c r="AB229" s="140"/>
      <c r="AC229" s="99" t="str">
        <f t="shared" si="39"/>
        <v/>
      </c>
      <c r="AD229" s="140"/>
      <c r="AE229" s="99" t="str">
        <f t="shared" si="40"/>
        <v/>
      </c>
      <c r="AF229" s="140"/>
      <c r="AG229" s="99" t="str">
        <f t="shared" si="41"/>
        <v/>
      </c>
      <c r="AH229" s="140"/>
      <c r="AI229" s="99" t="str">
        <f t="shared" si="42"/>
        <v/>
      </c>
      <c r="AJ229" s="140"/>
      <c r="AK229" s="28" t="str">
        <f t="shared" si="43"/>
        <v/>
      </c>
      <c r="AL229" s="111" t="str">
        <f t="shared" si="44"/>
        <v/>
      </c>
      <c r="AM229" s="111" t="str">
        <f t="shared" si="45"/>
        <v/>
      </c>
      <c r="AN229" s="178"/>
      <c r="AO229" s="178"/>
      <c r="AP229" s="178"/>
      <c r="AQ229" s="178"/>
      <c r="AR229" s="178"/>
      <c r="AS229" s="178"/>
      <c r="AT229" s="178"/>
      <c r="AU229" s="179" t="str">
        <f>IFERROR(VLOOKUP(AT229,'Seguridad Información'!$I$61:$J$65,2,0),"")</f>
        <v/>
      </c>
      <c r="AV229" s="83"/>
      <c r="AW229" s="82" t="str">
        <f t="shared" si="36"/>
        <v/>
      </c>
      <c r="AX229" s="81" t="str">
        <f t="shared" si="46"/>
        <v/>
      </c>
      <c r="AY229" s="22" t="str">
        <f>IFERROR(VLOOKUP((CONCATENATE(AM229,AX229)),Listados!$U$3:$V$11,2,FALSE),"")</f>
        <v/>
      </c>
      <c r="AZ229" s="111">
        <f t="shared" si="47"/>
        <v>100</v>
      </c>
      <c r="BA229" s="716">
        <f>AVERAGE(AZ229:AZ234)</f>
        <v>100</v>
      </c>
      <c r="BB229" s="718" t="str">
        <f>IF(BA229&lt;=50, "Débil", IF(BA229&lt;=99,"Moderado","Fuerte"))</f>
        <v>Fuerte</v>
      </c>
      <c r="BC229" s="142">
        <f>+IF(AND(W229="Preventivo",BB229="Fuerte"),2,IF(AND(W229="Preventivo",BB229="Moderado"),1,0))</f>
        <v>0</v>
      </c>
      <c r="BD229" s="68">
        <f>+IF(AND(W229="Detectivo/Correctivo",$BB229="Fuerte"),2,IF(AND(W229="Detectivo/Correctivo",$BB229="Moderado"),1,IF(AND(W229="Preventivo",$BB229="Fuerte"),1,0)))</f>
        <v>0</v>
      </c>
      <c r="BE229" s="142" t="e">
        <f>+N229-BC229</f>
        <v>#N/A</v>
      </c>
      <c r="BF229" s="142" t="e">
        <f>+P229-BD229</f>
        <v>#N/A</v>
      </c>
      <c r="BG229" s="712" t="e">
        <f>+VLOOKUP(MIN(BE229,BE230,BE231,BE232,BE233,BE234),Listados!$J$18:$K$24,2,TRUE)</f>
        <v>#N/A</v>
      </c>
      <c r="BH229" s="712" t="e">
        <f>+VLOOKUP(MIN(BF229,BF230,BF231,BF232,BF233,BF234),Listados!$J$27:$K$32,2,TRUE)</f>
        <v>#N/A</v>
      </c>
      <c r="BI229" s="712" t="e">
        <f>IF(AND(BG229&lt;&gt;"",BH229&lt;&gt;""),VLOOKUP(BG229&amp;BH229,Listados!$M$3:$N$27,2,FALSE),"")</f>
        <v>#N/A</v>
      </c>
      <c r="BJ229" s="802" t="e">
        <f>+IF($R229="Asumir el riesgo","NA","")</f>
        <v>#N/A</v>
      </c>
      <c r="BK229" s="802" t="e">
        <f>+IF($R229="Asumir el riesgo","NA","")</f>
        <v>#N/A</v>
      </c>
      <c r="BL229" s="802" t="e">
        <f>+IF($R229="Asumir el riesgo","NA","")</f>
        <v>#N/A</v>
      </c>
      <c r="BM229" s="802" t="e">
        <f>+IF($R229="Asumir el riesgo","NA","")</f>
        <v>#N/A</v>
      </c>
    </row>
    <row r="230" spans="1:65" ht="65.150000000000006" customHeight="1" thickBot="1">
      <c r="A230" s="724"/>
      <c r="B230" s="812"/>
      <c r="C230" s="730"/>
      <c r="D230" s="158"/>
      <c r="E230" s="158"/>
      <c r="F230" s="814"/>
      <c r="G230" s="736"/>
      <c r="H230" s="105"/>
      <c r="I230" s="161"/>
      <c r="J230" s="105"/>
      <c r="K230" s="160"/>
      <c r="L230" s="150"/>
      <c r="M230" s="727"/>
      <c r="N230" s="720"/>
      <c r="O230" s="810"/>
      <c r="P230" s="720"/>
      <c r="Q230" s="715"/>
      <c r="R230" s="713"/>
      <c r="S230" s="140"/>
      <c r="T230" s="180"/>
      <c r="U230" s="52" t="s">
        <v>467</v>
      </c>
      <c r="V230" s="145"/>
      <c r="W230" s="145"/>
      <c r="X230" s="145"/>
      <c r="Y230" s="99" t="str">
        <f t="shared" si="37"/>
        <v/>
      </c>
      <c r="Z230" s="145"/>
      <c r="AA230" s="99" t="str">
        <f t="shared" si="38"/>
        <v/>
      </c>
      <c r="AB230" s="140"/>
      <c r="AC230" s="99" t="str">
        <f t="shared" si="39"/>
        <v/>
      </c>
      <c r="AD230" s="140"/>
      <c r="AE230" s="99" t="str">
        <f t="shared" si="40"/>
        <v/>
      </c>
      <c r="AF230" s="140"/>
      <c r="AG230" s="99" t="str">
        <f t="shared" si="41"/>
        <v/>
      </c>
      <c r="AH230" s="140"/>
      <c r="AI230" s="99" t="str">
        <f t="shared" si="42"/>
        <v/>
      </c>
      <c r="AJ230" s="140"/>
      <c r="AK230" s="28" t="str">
        <f t="shared" si="43"/>
        <v/>
      </c>
      <c r="AL230" s="111" t="str">
        <f t="shared" si="44"/>
        <v/>
      </c>
      <c r="AM230" s="111" t="str">
        <f t="shared" si="45"/>
        <v/>
      </c>
      <c r="AN230" s="178"/>
      <c r="AO230" s="178"/>
      <c r="AP230" s="178"/>
      <c r="AQ230" s="178"/>
      <c r="AR230" s="178"/>
      <c r="AS230" s="178"/>
      <c r="AT230" s="178"/>
      <c r="AU230" s="179" t="str">
        <f>IFERROR(VLOOKUP(AT230,'Seguridad Información'!$I$61:$J$65,2,0),"")</f>
        <v/>
      </c>
      <c r="AV230" s="83"/>
      <c r="AW230" s="82" t="str">
        <f t="shared" si="36"/>
        <v/>
      </c>
      <c r="AX230" s="81" t="str">
        <f t="shared" si="46"/>
        <v/>
      </c>
      <c r="AY230" s="22" t="str">
        <f>IFERROR(VLOOKUP((CONCATENATE(AM230,AX230)),Listados!$U$3:$V$11,2,FALSE),"")</f>
        <v/>
      </c>
      <c r="AZ230" s="111">
        <f t="shared" si="47"/>
        <v>100</v>
      </c>
      <c r="BA230" s="717"/>
      <c r="BB230" s="761"/>
      <c r="BC230" s="142">
        <f>+IF(AND(W230="Preventivo",BB229="Fuerte"),2,IF(AND(W230="Preventivo",BB229="Moderado"),1,0))</f>
        <v>0</v>
      </c>
      <c r="BD230" s="68">
        <f>+IF(AND(W230="Detectivo/Correctivo",$BB229="Fuerte"),2,IF(AND(W230="Detectivo/Correctivo",$BB230="Moderado"),1,IF(AND(W230="Preventivo",$BB229="Fuerte"),1,0)))</f>
        <v>0</v>
      </c>
      <c r="BE230" s="142" t="e">
        <f>+N229-BC230</f>
        <v>#N/A</v>
      </c>
      <c r="BF230" s="142" t="e">
        <f>+P229-BD230</f>
        <v>#N/A</v>
      </c>
      <c r="BG230" s="713"/>
      <c r="BH230" s="713"/>
      <c r="BI230" s="713"/>
      <c r="BJ230" s="803"/>
      <c r="BK230" s="803"/>
      <c r="BL230" s="803"/>
      <c r="BM230" s="803"/>
    </row>
    <row r="231" spans="1:65" ht="65.150000000000006" customHeight="1" thickBot="1">
      <c r="A231" s="724"/>
      <c r="B231" s="812"/>
      <c r="C231" s="730"/>
      <c r="D231" s="158"/>
      <c r="E231" s="158"/>
      <c r="F231" s="814"/>
      <c r="G231" s="736"/>
      <c r="H231" s="105"/>
      <c r="I231" s="161"/>
      <c r="J231" s="105"/>
      <c r="K231" s="160"/>
      <c r="L231" s="150"/>
      <c r="M231" s="727"/>
      <c r="N231" s="720"/>
      <c r="O231" s="810"/>
      <c r="P231" s="720"/>
      <c r="Q231" s="715"/>
      <c r="R231" s="713"/>
      <c r="S231" s="140"/>
      <c r="T231" s="100"/>
      <c r="U231" s="52" t="s">
        <v>467</v>
      </c>
      <c r="V231" s="145"/>
      <c r="W231" s="145"/>
      <c r="X231" s="145"/>
      <c r="Y231" s="99" t="str">
        <f t="shared" si="37"/>
        <v/>
      </c>
      <c r="Z231" s="145"/>
      <c r="AA231" s="99" t="str">
        <f t="shared" si="38"/>
        <v/>
      </c>
      <c r="AB231" s="140"/>
      <c r="AC231" s="99" t="str">
        <f t="shared" si="39"/>
        <v/>
      </c>
      <c r="AD231" s="140"/>
      <c r="AE231" s="99" t="str">
        <f t="shared" si="40"/>
        <v/>
      </c>
      <c r="AF231" s="140"/>
      <c r="AG231" s="99" t="str">
        <f t="shared" si="41"/>
        <v/>
      </c>
      <c r="AH231" s="140"/>
      <c r="AI231" s="99" t="str">
        <f t="shared" si="42"/>
        <v/>
      </c>
      <c r="AJ231" s="140"/>
      <c r="AK231" s="28" t="str">
        <f t="shared" si="43"/>
        <v/>
      </c>
      <c r="AL231" s="111" t="str">
        <f t="shared" si="44"/>
        <v/>
      </c>
      <c r="AM231" s="111" t="str">
        <f t="shared" si="45"/>
        <v/>
      </c>
      <c r="AN231" s="178"/>
      <c r="AO231" s="178"/>
      <c r="AP231" s="178"/>
      <c r="AQ231" s="178"/>
      <c r="AR231" s="178"/>
      <c r="AS231" s="178"/>
      <c r="AT231" s="178"/>
      <c r="AU231" s="179" t="str">
        <f>IFERROR(VLOOKUP(AT231,'Seguridad Información'!$I$61:$J$65,2,0),"")</f>
        <v/>
      </c>
      <c r="AV231" s="83"/>
      <c r="AW231" s="82" t="str">
        <f t="shared" si="36"/>
        <v/>
      </c>
      <c r="AX231" s="81" t="str">
        <f t="shared" si="46"/>
        <v/>
      </c>
      <c r="AY231" s="22" t="str">
        <f>IFERROR(VLOOKUP((CONCATENATE(AM231,AX231)),Listados!$U$3:$V$11,2,FALSE),"")</f>
        <v/>
      </c>
      <c r="AZ231" s="111">
        <f t="shared" si="47"/>
        <v>100</v>
      </c>
      <c r="BA231" s="717"/>
      <c r="BB231" s="761"/>
      <c r="BC231" s="142">
        <f>+IF(AND(W231="Preventivo",BB229="Fuerte"),2,IF(AND(W231="Preventivo",BB229="Moderado"),1,0))</f>
        <v>0</v>
      </c>
      <c r="BD231" s="68">
        <f>+IF(AND(W231="Detectivo/Correctivo",$BB229="Fuerte"),2,IF(AND(W231="Detectivo/Correctivo",$BB231="Moderado"),1,IF(AND(W231="Preventivo",$BB229="Fuerte"),1,0)))</f>
        <v>0</v>
      </c>
      <c r="BE231" s="142" t="e">
        <f>+N229-BC231</f>
        <v>#N/A</v>
      </c>
      <c r="BF231" s="142" t="e">
        <f>+P229-BD231</f>
        <v>#N/A</v>
      </c>
      <c r="BG231" s="713"/>
      <c r="BH231" s="713"/>
      <c r="BI231" s="713"/>
      <c r="BJ231" s="803"/>
      <c r="BK231" s="803"/>
      <c r="BL231" s="803"/>
      <c r="BM231" s="803"/>
    </row>
    <row r="232" spans="1:65" ht="65.150000000000006" customHeight="1" thickBot="1">
      <c r="A232" s="724"/>
      <c r="B232" s="812"/>
      <c r="C232" s="730"/>
      <c r="D232" s="158"/>
      <c r="E232" s="158"/>
      <c r="F232" s="814"/>
      <c r="G232" s="736"/>
      <c r="H232" s="105"/>
      <c r="I232" s="161"/>
      <c r="J232" s="105"/>
      <c r="K232" s="160"/>
      <c r="L232" s="150"/>
      <c r="M232" s="727"/>
      <c r="N232" s="720"/>
      <c r="O232" s="810"/>
      <c r="P232" s="720"/>
      <c r="Q232" s="715"/>
      <c r="R232" s="713"/>
      <c r="S232" s="140"/>
      <c r="T232" s="101"/>
      <c r="U232" s="52" t="s">
        <v>467</v>
      </c>
      <c r="V232" s="145"/>
      <c r="W232" s="145"/>
      <c r="X232" s="145"/>
      <c r="Y232" s="99" t="str">
        <f t="shared" si="37"/>
        <v/>
      </c>
      <c r="Z232" s="145"/>
      <c r="AA232" s="99" t="str">
        <f t="shared" si="38"/>
        <v/>
      </c>
      <c r="AB232" s="140"/>
      <c r="AC232" s="99" t="str">
        <f t="shared" si="39"/>
        <v/>
      </c>
      <c r="AD232" s="140"/>
      <c r="AE232" s="99" t="str">
        <f t="shared" si="40"/>
        <v/>
      </c>
      <c r="AF232" s="140"/>
      <c r="AG232" s="99" t="str">
        <f t="shared" si="41"/>
        <v/>
      </c>
      <c r="AH232" s="140"/>
      <c r="AI232" s="99" t="str">
        <f t="shared" si="42"/>
        <v/>
      </c>
      <c r="AJ232" s="140"/>
      <c r="AK232" s="28" t="str">
        <f t="shared" si="43"/>
        <v/>
      </c>
      <c r="AL232" s="111" t="str">
        <f t="shared" si="44"/>
        <v/>
      </c>
      <c r="AM232" s="111" t="str">
        <f t="shared" si="45"/>
        <v/>
      </c>
      <c r="AN232" s="178"/>
      <c r="AO232" s="178"/>
      <c r="AP232" s="178"/>
      <c r="AQ232" s="178"/>
      <c r="AR232" s="178"/>
      <c r="AS232" s="178"/>
      <c r="AT232" s="178"/>
      <c r="AU232" s="179" t="str">
        <f>IFERROR(VLOOKUP(AT232,'Seguridad Información'!$I$61:$J$65,2,0),"")</f>
        <v/>
      </c>
      <c r="AV232" s="83"/>
      <c r="AW232" s="82" t="str">
        <f t="shared" si="36"/>
        <v/>
      </c>
      <c r="AX232" s="81" t="str">
        <f t="shared" si="46"/>
        <v/>
      </c>
      <c r="AY232" s="22" t="str">
        <f>IFERROR(VLOOKUP((CONCATENATE(AM232,AX232)),Listados!$U$3:$V$11,2,FALSE),"")</f>
        <v/>
      </c>
      <c r="AZ232" s="111">
        <f t="shared" si="47"/>
        <v>100</v>
      </c>
      <c r="BA232" s="717"/>
      <c r="BB232" s="761"/>
      <c r="BC232" s="142">
        <f>+IF(AND(W232="Preventivo",BB229="Fuerte"),2,IF(AND(W232="Preventivo",BB229="Moderado"),1,0))</f>
        <v>0</v>
      </c>
      <c r="BD232" s="68">
        <f>+IF(AND(W232="Detectivo/Correctivo",$BB229="Fuerte"),2,IF(AND(W232="Detectivo/Correctivo",$BB232="Moderado"),1,IF(AND(W232="Preventivo",$BB229="Fuerte"),1,0)))</f>
        <v>0</v>
      </c>
      <c r="BE232" s="142" t="e">
        <f>+N229-BC232</f>
        <v>#N/A</v>
      </c>
      <c r="BF232" s="142" t="e">
        <f>+P229-BD232</f>
        <v>#N/A</v>
      </c>
      <c r="BG232" s="713"/>
      <c r="BH232" s="713"/>
      <c r="BI232" s="713"/>
      <c r="BJ232" s="803"/>
      <c r="BK232" s="803"/>
      <c r="BL232" s="803"/>
      <c r="BM232" s="803"/>
    </row>
    <row r="233" spans="1:65" ht="65.150000000000006" customHeight="1" thickBot="1">
      <c r="A233" s="724"/>
      <c r="B233" s="812"/>
      <c r="C233" s="730"/>
      <c r="D233" s="116"/>
      <c r="E233" s="116"/>
      <c r="F233" s="814"/>
      <c r="G233" s="736"/>
      <c r="H233" s="105"/>
      <c r="I233" s="161"/>
      <c r="J233" s="105"/>
      <c r="K233" s="29"/>
      <c r="L233" s="150"/>
      <c r="M233" s="727"/>
      <c r="N233" s="720"/>
      <c r="O233" s="810"/>
      <c r="P233" s="720"/>
      <c r="Q233" s="715"/>
      <c r="R233" s="713"/>
      <c r="S233" s="140"/>
      <c r="T233" s="180"/>
      <c r="U233" s="52" t="s">
        <v>467</v>
      </c>
      <c r="V233" s="145"/>
      <c r="W233" s="145"/>
      <c r="X233" s="145"/>
      <c r="Y233" s="99" t="str">
        <f t="shared" si="37"/>
        <v/>
      </c>
      <c r="Z233" s="145"/>
      <c r="AA233" s="99" t="str">
        <f t="shared" si="38"/>
        <v/>
      </c>
      <c r="AB233" s="140"/>
      <c r="AC233" s="99" t="str">
        <f t="shared" si="39"/>
        <v/>
      </c>
      <c r="AD233" s="140"/>
      <c r="AE233" s="99" t="str">
        <f t="shared" si="40"/>
        <v/>
      </c>
      <c r="AF233" s="140"/>
      <c r="AG233" s="99" t="str">
        <f t="shared" si="41"/>
        <v/>
      </c>
      <c r="AH233" s="140"/>
      <c r="AI233" s="99" t="str">
        <f t="shared" si="42"/>
        <v/>
      </c>
      <c r="AJ233" s="140"/>
      <c r="AK233" s="28" t="str">
        <f t="shared" si="43"/>
        <v/>
      </c>
      <c r="AL233" s="111" t="str">
        <f t="shared" si="44"/>
        <v/>
      </c>
      <c r="AM233" s="111" t="str">
        <f t="shared" si="45"/>
        <v/>
      </c>
      <c r="AN233" s="178"/>
      <c r="AO233" s="178"/>
      <c r="AP233" s="178"/>
      <c r="AQ233" s="178"/>
      <c r="AR233" s="178"/>
      <c r="AS233" s="178"/>
      <c r="AT233" s="178"/>
      <c r="AU233" s="179" t="str">
        <f>IFERROR(VLOOKUP(AT233,'Seguridad Información'!$I$61:$J$65,2,0),"")</f>
        <v/>
      </c>
      <c r="AV233" s="83"/>
      <c r="AW233" s="82" t="str">
        <f t="shared" si="36"/>
        <v/>
      </c>
      <c r="AX233" s="81" t="str">
        <f t="shared" si="46"/>
        <v/>
      </c>
      <c r="AY233" s="22" t="str">
        <f>IFERROR(VLOOKUP((CONCATENATE(AM233,AX233)),Listados!$U$3:$V$11,2,FALSE),"")</f>
        <v/>
      </c>
      <c r="AZ233" s="111">
        <f t="shared" si="47"/>
        <v>100</v>
      </c>
      <c r="BA233" s="717"/>
      <c r="BB233" s="761"/>
      <c r="BC233" s="142">
        <f>+IF(AND(W233="Preventivo",BB229="Fuerte"),2,IF(AND(W233="Preventivo",BB229="Moderado"),1,0))</f>
        <v>0</v>
      </c>
      <c r="BD233" s="68">
        <f>+IF(AND(W233="Detectivo/Correctivo",$BB229="Fuerte"),2,IF(AND(W233="Detectivo/Correctivo",$BB233="Moderado"),1,IF(AND(W233="Preventivo",$BB229="Fuerte"),1,0)))</f>
        <v>0</v>
      </c>
      <c r="BE233" s="142" t="e">
        <f>+N229-BC233</f>
        <v>#N/A</v>
      </c>
      <c r="BF233" s="142" t="e">
        <f>+P229-BD233</f>
        <v>#N/A</v>
      </c>
      <c r="BG233" s="713"/>
      <c r="BH233" s="713"/>
      <c r="BI233" s="713"/>
      <c r="BJ233" s="803"/>
      <c r="BK233" s="803"/>
      <c r="BL233" s="803"/>
      <c r="BM233" s="803"/>
    </row>
    <row r="234" spans="1:65" ht="65.150000000000006" customHeight="1" thickBot="1">
      <c r="A234" s="725"/>
      <c r="B234" s="812"/>
      <c r="C234" s="731"/>
      <c r="D234" s="113"/>
      <c r="E234" s="113"/>
      <c r="F234" s="815"/>
      <c r="G234" s="781"/>
      <c r="H234" s="105"/>
      <c r="I234" s="161"/>
      <c r="J234" s="105"/>
      <c r="K234" s="30"/>
      <c r="L234" s="150"/>
      <c r="M234" s="727"/>
      <c r="N234" s="721"/>
      <c r="O234" s="810"/>
      <c r="P234" s="721"/>
      <c r="Q234" s="715"/>
      <c r="R234" s="714"/>
      <c r="S234" s="140"/>
      <c r="T234" s="102"/>
      <c r="U234" s="52" t="s">
        <v>467</v>
      </c>
      <c r="V234" s="145"/>
      <c r="W234" s="145"/>
      <c r="X234" s="145"/>
      <c r="Y234" s="99" t="str">
        <f t="shared" si="37"/>
        <v/>
      </c>
      <c r="Z234" s="145"/>
      <c r="AA234" s="99" t="str">
        <f t="shared" si="38"/>
        <v/>
      </c>
      <c r="AB234" s="140"/>
      <c r="AC234" s="99" t="str">
        <f t="shared" si="39"/>
        <v/>
      </c>
      <c r="AD234" s="140"/>
      <c r="AE234" s="99" t="str">
        <f t="shared" si="40"/>
        <v/>
      </c>
      <c r="AF234" s="140"/>
      <c r="AG234" s="99" t="str">
        <f t="shared" si="41"/>
        <v/>
      </c>
      <c r="AH234" s="140"/>
      <c r="AI234" s="99" t="str">
        <f t="shared" si="42"/>
        <v/>
      </c>
      <c r="AJ234" s="140"/>
      <c r="AK234" s="28" t="str">
        <f t="shared" si="43"/>
        <v/>
      </c>
      <c r="AL234" s="111" t="str">
        <f t="shared" si="44"/>
        <v/>
      </c>
      <c r="AM234" s="111" t="str">
        <f t="shared" si="45"/>
        <v/>
      </c>
      <c r="AN234" s="178"/>
      <c r="AO234" s="178"/>
      <c r="AP234" s="178"/>
      <c r="AQ234" s="178"/>
      <c r="AR234" s="178"/>
      <c r="AS234" s="178"/>
      <c r="AT234" s="178"/>
      <c r="AU234" s="179" t="str">
        <f>IFERROR(VLOOKUP(AT234,'Seguridad Información'!$I$61:$J$65,2,0),"")</f>
        <v/>
      </c>
      <c r="AV234" s="83"/>
      <c r="AW234" s="82" t="str">
        <f t="shared" si="36"/>
        <v/>
      </c>
      <c r="AX234" s="81" t="str">
        <f t="shared" si="46"/>
        <v/>
      </c>
      <c r="AY234" s="22" t="str">
        <f>IFERROR(VLOOKUP((CONCATENATE(AM234,AX234)),Listados!$U$3:$V$11,2,FALSE),"")</f>
        <v/>
      </c>
      <c r="AZ234" s="111">
        <f t="shared" si="47"/>
        <v>100</v>
      </c>
      <c r="BA234" s="718"/>
      <c r="BB234" s="761"/>
      <c r="BC234" s="142">
        <f>+IF(AND(W234="Preventivo",BB229="Fuerte"),2,IF(AND(W234="Preventivo",BB229="Moderado"),1,0))</f>
        <v>0</v>
      </c>
      <c r="BD234" s="68">
        <f>+IF(AND(W234="Detectivo/Correctivo",$BB229="Fuerte"),2,IF(AND(W234="Detectivo/Correctivo",$BB234="Moderado"),1,IF(AND(W234="Preventivo",$BB229="Fuerte"),1,0)))</f>
        <v>0</v>
      </c>
      <c r="BE234" s="142" t="e">
        <f>+N229-BC234</f>
        <v>#N/A</v>
      </c>
      <c r="BF234" s="142" t="e">
        <f>+P229-BD234</f>
        <v>#N/A</v>
      </c>
      <c r="BG234" s="714"/>
      <c r="BH234" s="714"/>
      <c r="BI234" s="714"/>
      <c r="BJ234" s="804"/>
      <c r="BK234" s="804"/>
      <c r="BL234" s="804"/>
      <c r="BM234" s="804"/>
    </row>
    <row r="235" spans="1:65" ht="65.150000000000006" customHeight="1" thickBot="1">
      <c r="A235" s="723">
        <v>39</v>
      </c>
      <c r="B235" s="811"/>
      <c r="C235" s="729" t="str">
        <f>IFERROR(VLOOKUP(B235,Listados!B$3:C$20,2,FALSE),"")</f>
        <v/>
      </c>
      <c r="D235" s="114"/>
      <c r="E235" s="114"/>
      <c r="F235" s="813"/>
      <c r="G235" s="735"/>
      <c r="H235" s="105"/>
      <c r="I235" s="161"/>
      <c r="J235" s="105"/>
      <c r="K235" s="109"/>
      <c r="L235" s="18"/>
      <c r="M235" s="762"/>
      <c r="N235" s="719" t="e">
        <f>+VLOOKUP(M235,Listados!$K$8:$L$12,2,0)</f>
        <v>#N/A</v>
      </c>
      <c r="O235" s="809"/>
      <c r="P235" s="719" t="e">
        <f>+VLOOKUP(O235,Listados!$K$13:$L$17,2,0)</f>
        <v>#N/A</v>
      </c>
      <c r="Q235" s="714" t="str">
        <f>IF(AND(M235&lt;&gt;"",O235&lt;&gt;""),VLOOKUP(M235&amp;O235,Listados!$M$3:$N$27,2,FALSE),"")</f>
        <v/>
      </c>
      <c r="R235" s="712" t="e">
        <f>+VLOOKUP(Q235,Listados!$P$3:$Q$6,2,FALSE)</f>
        <v>#N/A</v>
      </c>
      <c r="S235" s="140"/>
      <c r="T235" s="98"/>
      <c r="U235" s="52" t="s">
        <v>467</v>
      </c>
      <c r="V235" s="145"/>
      <c r="W235" s="145"/>
      <c r="X235" s="145"/>
      <c r="Y235" s="99" t="str">
        <f t="shared" si="37"/>
        <v/>
      </c>
      <c r="Z235" s="145"/>
      <c r="AA235" s="99" t="str">
        <f t="shared" si="38"/>
        <v/>
      </c>
      <c r="AB235" s="140"/>
      <c r="AC235" s="99" t="str">
        <f t="shared" si="39"/>
        <v/>
      </c>
      <c r="AD235" s="140"/>
      <c r="AE235" s="99" t="str">
        <f t="shared" si="40"/>
        <v/>
      </c>
      <c r="AF235" s="140"/>
      <c r="AG235" s="99" t="str">
        <f t="shared" si="41"/>
        <v/>
      </c>
      <c r="AH235" s="140"/>
      <c r="AI235" s="99" t="str">
        <f t="shared" si="42"/>
        <v/>
      </c>
      <c r="AJ235" s="140"/>
      <c r="AK235" s="28" t="str">
        <f t="shared" si="43"/>
        <v/>
      </c>
      <c r="AL235" s="111" t="str">
        <f t="shared" si="44"/>
        <v/>
      </c>
      <c r="AM235" s="111" t="str">
        <f t="shared" si="45"/>
        <v/>
      </c>
      <c r="AN235" s="178"/>
      <c r="AO235" s="178"/>
      <c r="AP235" s="178"/>
      <c r="AQ235" s="178"/>
      <c r="AR235" s="178"/>
      <c r="AS235" s="178"/>
      <c r="AT235" s="178"/>
      <c r="AU235" s="179" t="str">
        <f>IFERROR(VLOOKUP(AT235,'Seguridad Información'!$I$61:$J$65,2,0),"")</f>
        <v/>
      </c>
      <c r="AV235" s="83"/>
      <c r="AW235" s="82" t="str">
        <f t="shared" si="36"/>
        <v/>
      </c>
      <c r="AX235" s="81" t="str">
        <f t="shared" si="46"/>
        <v/>
      </c>
      <c r="AY235" s="22" t="str">
        <f>IFERROR(VLOOKUP((CONCATENATE(AM235,AX235)),Listados!$U$3:$V$11,2,FALSE),"")</f>
        <v/>
      </c>
      <c r="AZ235" s="111">
        <f t="shared" si="47"/>
        <v>100</v>
      </c>
      <c r="BA235" s="716">
        <f>AVERAGE(AZ235:AZ240)</f>
        <v>100</v>
      </c>
      <c r="BB235" s="718" t="str">
        <f>IF(BA235&lt;=50, "Débil", IF(BA235&lt;=99,"Moderado","Fuerte"))</f>
        <v>Fuerte</v>
      </c>
      <c r="BC235" s="142">
        <f>+IF(AND(W235="Preventivo",BB235="Fuerte"),2,IF(AND(W235="Preventivo",BB235="Moderado"),1,0))</f>
        <v>0</v>
      </c>
      <c r="BD235" s="68">
        <f>+IF(AND(W235="Detectivo/Correctivo",$BB235="Fuerte"),2,IF(AND(W235="Detectivo/Correctivo",$BB235="Moderado"),1,IF(AND(W235="Preventivo",$BB235="Fuerte"),1,0)))</f>
        <v>0</v>
      </c>
      <c r="BE235" s="142" t="e">
        <f>+N235-BC235</f>
        <v>#N/A</v>
      </c>
      <c r="BF235" s="142" t="e">
        <f>+P235-BD235</f>
        <v>#N/A</v>
      </c>
      <c r="BG235" s="712" t="e">
        <f>+VLOOKUP(MIN(BE235,BE236,BE237,BE238,BE239,BE240),Listados!$J$18:$K$24,2,TRUE)</f>
        <v>#N/A</v>
      </c>
      <c r="BH235" s="712" t="e">
        <f>+VLOOKUP(MIN(BF235,BF236,BF237,BF238,BF239,BF240),Listados!$J$27:$K$32,2,TRUE)</f>
        <v>#N/A</v>
      </c>
      <c r="BI235" s="712" t="e">
        <f>IF(AND(BG235&lt;&gt;"",BH235&lt;&gt;""),VLOOKUP(BG235&amp;BH235,Listados!$M$3:$N$27,2,FALSE),"")</f>
        <v>#N/A</v>
      </c>
      <c r="BJ235" s="802" t="e">
        <f>+IF($R235="Asumir el riesgo","NA","")</f>
        <v>#N/A</v>
      </c>
      <c r="BK235" s="802" t="e">
        <f>+IF($R235="Asumir el riesgo","NA","")</f>
        <v>#N/A</v>
      </c>
      <c r="BL235" s="802" t="e">
        <f>+IF($R235="Asumir el riesgo","NA","")</f>
        <v>#N/A</v>
      </c>
      <c r="BM235" s="802" t="e">
        <f>+IF($R235="Asumir el riesgo","NA","")</f>
        <v>#N/A</v>
      </c>
    </row>
    <row r="236" spans="1:65" ht="65.150000000000006" customHeight="1" thickBot="1">
      <c r="A236" s="724"/>
      <c r="B236" s="812"/>
      <c r="C236" s="730"/>
      <c r="D236" s="158"/>
      <c r="E236" s="158"/>
      <c r="F236" s="814"/>
      <c r="G236" s="736"/>
      <c r="H236" s="105"/>
      <c r="I236" s="161"/>
      <c r="J236" s="105"/>
      <c r="K236" s="160"/>
      <c r="L236" s="150"/>
      <c r="M236" s="727"/>
      <c r="N236" s="720"/>
      <c r="O236" s="810"/>
      <c r="P236" s="720"/>
      <c r="Q236" s="715"/>
      <c r="R236" s="713"/>
      <c r="S236" s="140"/>
      <c r="T236" s="180"/>
      <c r="U236" s="52" t="s">
        <v>467</v>
      </c>
      <c r="V236" s="145"/>
      <c r="W236" s="145"/>
      <c r="X236" s="145"/>
      <c r="Y236" s="99" t="str">
        <f t="shared" si="37"/>
        <v/>
      </c>
      <c r="Z236" s="145"/>
      <c r="AA236" s="99" t="str">
        <f t="shared" si="38"/>
        <v/>
      </c>
      <c r="AB236" s="140"/>
      <c r="AC236" s="99" t="str">
        <f t="shared" si="39"/>
        <v/>
      </c>
      <c r="AD236" s="140"/>
      <c r="AE236" s="99" t="str">
        <f t="shared" si="40"/>
        <v/>
      </c>
      <c r="AF236" s="140"/>
      <c r="AG236" s="99" t="str">
        <f t="shared" si="41"/>
        <v/>
      </c>
      <c r="AH236" s="140"/>
      <c r="AI236" s="99" t="str">
        <f t="shared" si="42"/>
        <v/>
      </c>
      <c r="AJ236" s="140"/>
      <c r="AK236" s="28" t="str">
        <f t="shared" si="43"/>
        <v/>
      </c>
      <c r="AL236" s="111" t="str">
        <f t="shared" si="44"/>
        <v/>
      </c>
      <c r="AM236" s="111" t="str">
        <f t="shared" si="45"/>
        <v/>
      </c>
      <c r="AN236" s="178"/>
      <c r="AO236" s="178"/>
      <c r="AP236" s="178"/>
      <c r="AQ236" s="178"/>
      <c r="AR236" s="178"/>
      <c r="AS236" s="178"/>
      <c r="AT236" s="178"/>
      <c r="AU236" s="179" t="str">
        <f>IFERROR(VLOOKUP(AT236,'Seguridad Información'!$I$61:$J$65,2,0),"")</f>
        <v/>
      </c>
      <c r="AV236" s="83"/>
      <c r="AW236" s="82" t="str">
        <f t="shared" si="36"/>
        <v/>
      </c>
      <c r="AX236" s="81" t="str">
        <f t="shared" si="46"/>
        <v/>
      </c>
      <c r="AY236" s="22" t="str">
        <f>IFERROR(VLOOKUP((CONCATENATE(AM236,AX236)),Listados!$U$3:$V$11,2,FALSE),"")</f>
        <v/>
      </c>
      <c r="AZ236" s="111">
        <f t="shared" si="47"/>
        <v>100</v>
      </c>
      <c r="BA236" s="717"/>
      <c r="BB236" s="761"/>
      <c r="BC236" s="142">
        <f>+IF(AND(W236="Preventivo",BB235="Fuerte"),2,IF(AND(W236="Preventivo",BB235="Moderado"),1,0))</f>
        <v>0</v>
      </c>
      <c r="BD236" s="68">
        <f>+IF(AND(W236="Detectivo/Correctivo",$BB235="Fuerte"),2,IF(AND(W236="Detectivo/Correctivo",$BB236="Moderado"),1,IF(AND(W236="Preventivo",$BB235="Fuerte"),1,0)))</f>
        <v>0</v>
      </c>
      <c r="BE236" s="142" t="e">
        <f>+N235-BC236</f>
        <v>#N/A</v>
      </c>
      <c r="BF236" s="142" t="e">
        <f>+P235-BD236</f>
        <v>#N/A</v>
      </c>
      <c r="BG236" s="713"/>
      <c r="BH236" s="713"/>
      <c r="BI236" s="713"/>
      <c r="BJ236" s="803"/>
      <c r="BK236" s="803"/>
      <c r="BL236" s="803"/>
      <c r="BM236" s="803"/>
    </row>
    <row r="237" spans="1:65" ht="65.150000000000006" customHeight="1" thickBot="1">
      <c r="A237" s="724"/>
      <c r="B237" s="812"/>
      <c r="C237" s="730"/>
      <c r="D237" s="158"/>
      <c r="E237" s="158"/>
      <c r="F237" s="814"/>
      <c r="G237" s="736"/>
      <c r="H237" s="105"/>
      <c r="I237" s="161"/>
      <c r="J237" s="105"/>
      <c r="K237" s="160"/>
      <c r="L237" s="150"/>
      <c r="M237" s="727"/>
      <c r="N237" s="720"/>
      <c r="O237" s="810"/>
      <c r="P237" s="720"/>
      <c r="Q237" s="715"/>
      <c r="R237" s="713"/>
      <c r="S237" s="140"/>
      <c r="T237" s="100"/>
      <c r="U237" s="52" t="s">
        <v>467</v>
      </c>
      <c r="V237" s="145"/>
      <c r="W237" s="145"/>
      <c r="X237" s="145"/>
      <c r="Y237" s="99" t="str">
        <f t="shared" si="37"/>
        <v/>
      </c>
      <c r="Z237" s="145"/>
      <c r="AA237" s="99" t="str">
        <f t="shared" si="38"/>
        <v/>
      </c>
      <c r="AB237" s="140"/>
      <c r="AC237" s="99" t="str">
        <f t="shared" si="39"/>
        <v/>
      </c>
      <c r="AD237" s="140"/>
      <c r="AE237" s="99" t="str">
        <f t="shared" si="40"/>
        <v/>
      </c>
      <c r="AF237" s="140"/>
      <c r="AG237" s="99" t="str">
        <f t="shared" si="41"/>
        <v/>
      </c>
      <c r="AH237" s="140"/>
      <c r="AI237" s="99" t="str">
        <f t="shared" si="42"/>
        <v/>
      </c>
      <c r="AJ237" s="140"/>
      <c r="AK237" s="28" t="str">
        <f t="shared" si="43"/>
        <v/>
      </c>
      <c r="AL237" s="111" t="str">
        <f t="shared" si="44"/>
        <v/>
      </c>
      <c r="AM237" s="111" t="str">
        <f t="shared" si="45"/>
        <v/>
      </c>
      <c r="AN237" s="178"/>
      <c r="AO237" s="178"/>
      <c r="AP237" s="178"/>
      <c r="AQ237" s="178"/>
      <c r="AR237" s="178"/>
      <c r="AS237" s="178"/>
      <c r="AT237" s="178"/>
      <c r="AU237" s="179" t="str">
        <f>IFERROR(VLOOKUP(AT237,'Seguridad Información'!$I$61:$J$65,2,0),"")</f>
        <v/>
      </c>
      <c r="AV237" s="83"/>
      <c r="AW237" s="82" t="str">
        <f t="shared" si="36"/>
        <v/>
      </c>
      <c r="AX237" s="81" t="str">
        <f t="shared" si="46"/>
        <v/>
      </c>
      <c r="AY237" s="22" t="str">
        <f>IFERROR(VLOOKUP((CONCATENATE(AM237,AX237)),Listados!$U$3:$V$11,2,FALSE),"")</f>
        <v/>
      </c>
      <c r="AZ237" s="111">
        <f t="shared" si="47"/>
        <v>100</v>
      </c>
      <c r="BA237" s="717"/>
      <c r="BB237" s="761"/>
      <c r="BC237" s="142">
        <f>+IF(AND(W237="Preventivo",BB235="Fuerte"),2,IF(AND(W237="Preventivo",BB235="Moderado"),1,0))</f>
        <v>0</v>
      </c>
      <c r="BD237" s="68">
        <f>+IF(AND(W237="Detectivo/Correctivo",$BB235="Fuerte"),2,IF(AND(W237="Detectivo/Correctivo",$BB237="Moderado"),1,IF(AND(W237="Preventivo",$BB235="Fuerte"),1,0)))</f>
        <v>0</v>
      </c>
      <c r="BE237" s="142" t="e">
        <f>+N235-BC237</f>
        <v>#N/A</v>
      </c>
      <c r="BF237" s="142" t="e">
        <f>+P235-BD237</f>
        <v>#N/A</v>
      </c>
      <c r="BG237" s="713"/>
      <c r="BH237" s="713"/>
      <c r="BI237" s="713"/>
      <c r="BJ237" s="803"/>
      <c r="BK237" s="803"/>
      <c r="BL237" s="803"/>
      <c r="BM237" s="803"/>
    </row>
    <row r="238" spans="1:65" ht="65.150000000000006" customHeight="1" thickBot="1">
      <c r="A238" s="724"/>
      <c r="B238" s="812"/>
      <c r="C238" s="730"/>
      <c r="D238" s="158"/>
      <c r="E238" s="158"/>
      <c r="F238" s="814"/>
      <c r="G238" s="736"/>
      <c r="H238" s="105"/>
      <c r="I238" s="161"/>
      <c r="J238" s="105"/>
      <c r="K238" s="160"/>
      <c r="L238" s="150"/>
      <c r="M238" s="727"/>
      <c r="N238" s="720"/>
      <c r="O238" s="810"/>
      <c r="P238" s="720"/>
      <c r="Q238" s="715"/>
      <c r="R238" s="713"/>
      <c r="S238" s="140"/>
      <c r="T238" s="101"/>
      <c r="U238" s="52" t="s">
        <v>467</v>
      </c>
      <c r="V238" s="145"/>
      <c r="W238" s="145"/>
      <c r="X238" s="145"/>
      <c r="Y238" s="99" t="str">
        <f t="shared" si="37"/>
        <v/>
      </c>
      <c r="Z238" s="145"/>
      <c r="AA238" s="99" t="str">
        <f t="shared" si="38"/>
        <v/>
      </c>
      <c r="AB238" s="140"/>
      <c r="AC238" s="99" t="str">
        <f t="shared" si="39"/>
        <v/>
      </c>
      <c r="AD238" s="140"/>
      <c r="AE238" s="99" t="str">
        <f t="shared" si="40"/>
        <v/>
      </c>
      <c r="AF238" s="140"/>
      <c r="AG238" s="99" t="str">
        <f t="shared" si="41"/>
        <v/>
      </c>
      <c r="AH238" s="140"/>
      <c r="AI238" s="99" t="str">
        <f t="shared" si="42"/>
        <v/>
      </c>
      <c r="AJ238" s="140"/>
      <c r="AK238" s="28" t="str">
        <f t="shared" si="43"/>
        <v/>
      </c>
      <c r="AL238" s="111" t="str">
        <f t="shared" si="44"/>
        <v/>
      </c>
      <c r="AM238" s="111" t="str">
        <f t="shared" si="45"/>
        <v/>
      </c>
      <c r="AN238" s="178"/>
      <c r="AO238" s="178"/>
      <c r="AP238" s="178"/>
      <c r="AQ238" s="178"/>
      <c r="AR238" s="178"/>
      <c r="AS238" s="178"/>
      <c r="AT238" s="178"/>
      <c r="AU238" s="179" t="str">
        <f>IFERROR(VLOOKUP(AT238,'Seguridad Información'!$I$61:$J$65,2,0),"")</f>
        <v/>
      </c>
      <c r="AV238" s="83"/>
      <c r="AW238" s="82" t="str">
        <f t="shared" si="36"/>
        <v/>
      </c>
      <c r="AX238" s="81" t="str">
        <f t="shared" si="46"/>
        <v/>
      </c>
      <c r="AY238" s="22" t="str">
        <f>IFERROR(VLOOKUP((CONCATENATE(AM238,AX238)),Listados!$U$3:$V$11,2,FALSE),"")</f>
        <v/>
      </c>
      <c r="AZ238" s="111">
        <f t="shared" si="47"/>
        <v>100</v>
      </c>
      <c r="BA238" s="717"/>
      <c r="BB238" s="761"/>
      <c r="BC238" s="142">
        <f>+IF(AND(W238="Preventivo",BB235="Fuerte"),2,IF(AND(W238="Preventivo",BB235="Moderado"),1,0))</f>
        <v>0</v>
      </c>
      <c r="BD238" s="68">
        <f>+IF(AND(W238="Detectivo/Correctivo",$BB235="Fuerte"),2,IF(AND(W238="Detectivo/Correctivo",$BB238="Moderado"),1,IF(AND(W238="Preventivo",$BB235="Fuerte"),1,0)))</f>
        <v>0</v>
      </c>
      <c r="BE238" s="142" t="e">
        <f>+N235-BC238</f>
        <v>#N/A</v>
      </c>
      <c r="BF238" s="142" t="e">
        <f>+P235-BD238</f>
        <v>#N/A</v>
      </c>
      <c r="BG238" s="713"/>
      <c r="BH238" s="713"/>
      <c r="BI238" s="713"/>
      <c r="BJ238" s="803"/>
      <c r="BK238" s="803"/>
      <c r="BL238" s="803"/>
      <c r="BM238" s="803"/>
    </row>
    <row r="239" spans="1:65" ht="65.150000000000006" customHeight="1" thickBot="1">
      <c r="A239" s="724"/>
      <c r="B239" s="812"/>
      <c r="C239" s="730"/>
      <c r="D239" s="116"/>
      <c r="E239" s="116"/>
      <c r="F239" s="814"/>
      <c r="G239" s="736"/>
      <c r="H239" s="105"/>
      <c r="I239" s="161"/>
      <c r="J239" s="105"/>
      <c r="K239" s="29"/>
      <c r="L239" s="150"/>
      <c r="M239" s="727"/>
      <c r="N239" s="720"/>
      <c r="O239" s="810"/>
      <c r="P239" s="720"/>
      <c r="Q239" s="715"/>
      <c r="R239" s="713"/>
      <c r="S239" s="140"/>
      <c r="T239" s="180"/>
      <c r="U239" s="52" t="s">
        <v>467</v>
      </c>
      <c r="V239" s="145"/>
      <c r="W239" s="145"/>
      <c r="X239" s="145"/>
      <c r="Y239" s="99" t="str">
        <f t="shared" si="37"/>
        <v/>
      </c>
      <c r="Z239" s="145"/>
      <c r="AA239" s="99" t="str">
        <f t="shared" si="38"/>
        <v/>
      </c>
      <c r="AB239" s="140"/>
      <c r="AC239" s="99" t="str">
        <f t="shared" si="39"/>
        <v/>
      </c>
      <c r="AD239" s="140"/>
      <c r="AE239" s="99" t="str">
        <f t="shared" si="40"/>
        <v/>
      </c>
      <c r="AF239" s="140"/>
      <c r="AG239" s="99" t="str">
        <f t="shared" si="41"/>
        <v/>
      </c>
      <c r="AH239" s="140"/>
      <c r="AI239" s="99" t="str">
        <f t="shared" si="42"/>
        <v/>
      </c>
      <c r="AJ239" s="140"/>
      <c r="AK239" s="28" t="str">
        <f t="shared" si="43"/>
        <v/>
      </c>
      <c r="AL239" s="111" t="str">
        <f t="shared" si="44"/>
        <v/>
      </c>
      <c r="AM239" s="111" t="str">
        <f t="shared" si="45"/>
        <v/>
      </c>
      <c r="AN239" s="178"/>
      <c r="AO239" s="178"/>
      <c r="AP239" s="178"/>
      <c r="AQ239" s="178"/>
      <c r="AR239" s="178"/>
      <c r="AS239" s="178"/>
      <c r="AT239" s="178"/>
      <c r="AU239" s="179" t="str">
        <f>IFERROR(VLOOKUP(AT239,'Seguridad Información'!$I$61:$J$65,2,0),"")</f>
        <v/>
      </c>
      <c r="AV239" s="83"/>
      <c r="AW239" s="82" t="str">
        <f t="shared" si="36"/>
        <v/>
      </c>
      <c r="AX239" s="81" t="str">
        <f t="shared" si="46"/>
        <v/>
      </c>
      <c r="AY239" s="22" t="str">
        <f>IFERROR(VLOOKUP((CONCATENATE(AM239,AX239)),Listados!$U$3:$V$11,2,FALSE),"")</f>
        <v/>
      </c>
      <c r="AZ239" s="111">
        <f t="shared" si="47"/>
        <v>100</v>
      </c>
      <c r="BA239" s="717"/>
      <c r="BB239" s="761"/>
      <c r="BC239" s="142">
        <f>+IF(AND(W239="Preventivo",BB235="Fuerte"),2,IF(AND(W239="Preventivo",BB235="Moderado"),1,0))</f>
        <v>0</v>
      </c>
      <c r="BD239" s="68">
        <f>+IF(AND(W239="Detectivo/Correctivo",$BB235="Fuerte"),2,IF(AND(W239="Detectivo/Correctivo",$BB239="Moderado"),1,IF(AND(W239="Preventivo",$BB235="Fuerte"),1,0)))</f>
        <v>0</v>
      </c>
      <c r="BE239" s="142" t="e">
        <f>+N235-BC239</f>
        <v>#N/A</v>
      </c>
      <c r="BF239" s="142" t="e">
        <f>+P235-BD239</f>
        <v>#N/A</v>
      </c>
      <c r="BG239" s="713"/>
      <c r="BH239" s="713"/>
      <c r="BI239" s="713"/>
      <c r="BJ239" s="803"/>
      <c r="BK239" s="803"/>
      <c r="BL239" s="803"/>
      <c r="BM239" s="803"/>
    </row>
    <row r="240" spans="1:65" ht="65.150000000000006" customHeight="1" thickBot="1">
      <c r="A240" s="725"/>
      <c r="B240" s="812"/>
      <c r="C240" s="731"/>
      <c r="D240" s="113"/>
      <c r="E240" s="113"/>
      <c r="F240" s="815"/>
      <c r="G240" s="781"/>
      <c r="H240" s="105"/>
      <c r="I240" s="161"/>
      <c r="J240" s="105"/>
      <c r="K240" s="30"/>
      <c r="L240" s="150"/>
      <c r="M240" s="727"/>
      <c r="N240" s="721"/>
      <c r="O240" s="810"/>
      <c r="P240" s="721"/>
      <c r="Q240" s="715"/>
      <c r="R240" s="714"/>
      <c r="S240" s="140"/>
      <c r="T240" s="102"/>
      <c r="U240" s="52" t="s">
        <v>467</v>
      </c>
      <c r="V240" s="145"/>
      <c r="W240" s="145"/>
      <c r="X240" s="145"/>
      <c r="Y240" s="99" t="str">
        <f t="shared" si="37"/>
        <v/>
      </c>
      <c r="Z240" s="145"/>
      <c r="AA240" s="99" t="str">
        <f t="shared" si="38"/>
        <v/>
      </c>
      <c r="AB240" s="140"/>
      <c r="AC240" s="99" t="str">
        <f t="shared" si="39"/>
        <v/>
      </c>
      <c r="AD240" s="140"/>
      <c r="AE240" s="99" t="str">
        <f t="shared" si="40"/>
        <v/>
      </c>
      <c r="AF240" s="140"/>
      <c r="AG240" s="99" t="str">
        <f t="shared" si="41"/>
        <v/>
      </c>
      <c r="AH240" s="140"/>
      <c r="AI240" s="99" t="str">
        <f t="shared" si="42"/>
        <v/>
      </c>
      <c r="AJ240" s="140"/>
      <c r="AK240" s="28" t="str">
        <f t="shared" si="43"/>
        <v/>
      </c>
      <c r="AL240" s="111" t="str">
        <f t="shared" si="44"/>
        <v/>
      </c>
      <c r="AM240" s="111" t="str">
        <f t="shared" si="45"/>
        <v/>
      </c>
      <c r="AN240" s="178"/>
      <c r="AO240" s="178"/>
      <c r="AP240" s="178"/>
      <c r="AQ240" s="178"/>
      <c r="AR240" s="178"/>
      <c r="AS240" s="178"/>
      <c r="AT240" s="178"/>
      <c r="AU240" s="179" t="str">
        <f>IFERROR(VLOOKUP(AT240,'Seguridad Información'!$I$61:$J$65,2,0),"")</f>
        <v/>
      </c>
      <c r="AV240" s="83"/>
      <c r="AW240" s="82" t="str">
        <f t="shared" si="36"/>
        <v/>
      </c>
      <c r="AX240" s="81" t="str">
        <f t="shared" si="46"/>
        <v/>
      </c>
      <c r="AY240" s="22" t="str">
        <f>IFERROR(VLOOKUP((CONCATENATE(AM240,AX240)),Listados!$U$3:$V$11,2,FALSE),"")</f>
        <v/>
      </c>
      <c r="AZ240" s="111">
        <f t="shared" si="47"/>
        <v>100</v>
      </c>
      <c r="BA240" s="718"/>
      <c r="BB240" s="761"/>
      <c r="BC240" s="142">
        <f>+IF(AND(W240="Preventivo",BB235="Fuerte"),2,IF(AND(W240="Preventivo",BB235="Moderado"),1,0))</f>
        <v>0</v>
      </c>
      <c r="BD240" s="68">
        <f>+IF(AND(W240="Detectivo/Correctivo",$BB235="Fuerte"),2,IF(AND(W240="Detectivo/Correctivo",$BB240="Moderado"),1,IF(AND(W240="Preventivo",$BB235="Fuerte"),1,0)))</f>
        <v>0</v>
      </c>
      <c r="BE240" s="142" t="e">
        <f>+N235-BC240</f>
        <v>#N/A</v>
      </c>
      <c r="BF240" s="142" t="e">
        <f>+P235-BD240</f>
        <v>#N/A</v>
      </c>
      <c r="BG240" s="714"/>
      <c r="BH240" s="714"/>
      <c r="BI240" s="714"/>
      <c r="BJ240" s="804"/>
      <c r="BK240" s="804"/>
      <c r="BL240" s="804"/>
      <c r="BM240" s="804"/>
    </row>
    <row r="241" spans="1:65" ht="65.150000000000006" customHeight="1" thickBot="1">
      <c r="A241" s="723">
        <v>40</v>
      </c>
      <c r="B241" s="811"/>
      <c r="C241" s="729" t="str">
        <f>IFERROR(VLOOKUP(B241,Listados!B$3:C$20,2,FALSE),"")</f>
        <v/>
      </c>
      <c r="D241" s="114"/>
      <c r="E241" s="114"/>
      <c r="F241" s="813"/>
      <c r="G241" s="735"/>
      <c r="H241" s="105"/>
      <c r="I241" s="161"/>
      <c r="J241" s="105"/>
      <c r="K241" s="109"/>
      <c r="L241" s="18"/>
      <c r="M241" s="762"/>
      <c r="N241" s="719" t="e">
        <f>+VLOOKUP(M241,Listados!$K$8:$L$12,2,0)</f>
        <v>#N/A</v>
      </c>
      <c r="O241" s="809"/>
      <c r="P241" s="719" t="e">
        <f>+VLOOKUP(O241,Listados!$K$13:$L$17,2,0)</f>
        <v>#N/A</v>
      </c>
      <c r="Q241" s="714" t="str">
        <f>IF(AND(M241&lt;&gt;"",O241&lt;&gt;""),VLOOKUP(M241&amp;O241,Listados!$M$3:$N$27,2,FALSE),"")</f>
        <v/>
      </c>
      <c r="R241" s="712" t="e">
        <f>+VLOOKUP(Q241,Listados!$P$3:$Q$6,2,FALSE)</f>
        <v>#N/A</v>
      </c>
      <c r="S241" s="140"/>
      <c r="T241" s="98"/>
      <c r="U241" s="52" t="s">
        <v>467</v>
      </c>
      <c r="V241" s="145"/>
      <c r="W241" s="145"/>
      <c r="X241" s="145"/>
      <c r="Y241" s="99" t="str">
        <f t="shared" si="37"/>
        <v/>
      </c>
      <c r="Z241" s="145"/>
      <c r="AA241" s="99" t="str">
        <f t="shared" si="38"/>
        <v/>
      </c>
      <c r="AB241" s="140"/>
      <c r="AC241" s="99" t="str">
        <f t="shared" si="39"/>
        <v/>
      </c>
      <c r="AD241" s="140"/>
      <c r="AE241" s="99" t="str">
        <f t="shared" si="40"/>
        <v/>
      </c>
      <c r="AF241" s="140"/>
      <c r="AG241" s="99" t="str">
        <f t="shared" si="41"/>
        <v/>
      </c>
      <c r="AH241" s="140"/>
      <c r="AI241" s="99" t="str">
        <f t="shared" si="42"/>
        <v/>
      </c>
      <c r="AJ241" s="140"/>
      <c r="AK241" s="28" t="str">
        <f t="shared" si="43"/>
        <v/>
      </c>
      <c r="AL241" s="111" t="str">
        <f t="shared" si="44"/>
        <v/>
      </c>
      <c r="AM241" s="111" t="str">
        <f t="shared" si="45"/>
        <v/>
      </c>
      <c r="AN241" s="178"/>
      <c r="AO241" s="178"/>
      <c r="AP241" s="178"/>
      <c r="AQ241" s="178"/>
      <c r="AR241" s="178"/>
      <c r="AS241" s="178"/>
      <c r="AT241" s="178"/>
      <c r="AU241" s="179" t="str">
        <f>IFERROR(VLOOKUP(AT241,'Seguridad Información'!$I$61:$J$65,2,0),"")</f>
        <v/>
      </c>
      <c r="AV241" s="83"/>
      <c r="AW241" s="82" t="str">
        <f t="shared" si="36"/>
        <v/>
      </c>
      <c r="AX241" s="81" t="str">
        <f t="shared" si="46"/>
        <v/>
      </c>
      <c r="AY241" s="22" t="str">
        <f>IFERROR(VLOOKUP((CONCATENATE(AM241,AX241)),Listados!$U$3:$V$11,2,FALSE),"")</f>
        <v/>
      </c>
      <c r="AZ241" s="111">
        <f t="shared" si="47"/>
        <v>100</v>
      </c>
      <c r="BA241" s="716">
        <f>AVERAGE(AZ241:AZ246)</f>
        <v>100</v>
      </c>
      <c r="BB241" s="718" t="str">
        <f>IF(BA241&lt;=50, "Débil", IF(BA241&lt;=99,"Moderado","Fuerte"))</f>
        <v>Fuerte</v>
      </c>
      <c r="BC241" s="142">
        <f>+IF(AND(W241="Preventivo",BB241="Fuerte"),2,IF(AND(W241="Preventivo",BB241="Moderado"),1,0))</f>
        <v>0</v>
      </c>
      <c r="BD241" s="68">
        <f>+IF(AND(W241="Detectivo/Correctivo",$BB241="Fuerte"),2,IF(AND(W241="Detectivo/Correctivo",$BB241="Moderado"),1,IF(AND(W241="Preventivo",$BB241="Fuerte"),1,0)))</f>
        <v>0</v>
      </c>
      <c r="BE241" s="142" t="e">
        <f>+N241-BC241</f>
        <v>#N/A</v>
      </c>
      <c r="BF241" s="142" t="e">
        <f>+P241-BD241</f>
        <v>#N/A</v>
      </c>
      <c r="BG241" s="712" t="e">
        <f>+VLOOKUP(MIN(BE241,BE242,BE243,BE244,BE245,BE246),Listados!$J$18:$K$24,2,TRUE)</f>
        <v>#N/A</v>
      </c>
      <c r="BH241" s="712" t="e">
        <f>+VLOOKUP(MIN(BF241,BF242,BF243,BF244,BF245,BF246),Listados!$J$27:$K$32,2,TRUE)</f>
        <v>#N/A</v>
      </c>
      <c r="BI241" s="712" t="e">
        <f>IF(AND(BG241&lt;&gt;"",BH241&lt;&gt;""),VLOOKUP(BG241&amp;BH241,Listados!$M$3:$N$27,2,FALSE),"")</f>
        <v>#N/A</v>
      </c>
      <c r="BJ241" s="802" t="e">
        <f>+IF($R241="Asumir el riesgo","NA","")</f>
        <v>#N/A</v>
      </c>
      <c r="BK241" s="802" t="e">
        <f>+IF($R241="Asumir el riesgo","NA","")</f>
        <v>#N/A</v>
      </c>
      <c r="BL241" s="802" t="e">
        <f>+IF($R241="Asumir el riesgo","NA","")</f>
        <v>#N/A</v>
      </c>
      <c r="BM241" s="802" t="e">
        <f>+IF($R241="Asumir el riesgo","NA","")</f>
        <v>#N/A</v>
      </c>
    </row>
    <row r="242" spans="1:65" ht="65.150000000000006" customHeight="1" thickBot="1">
      <c r="A242" s="724"/>
      <c r="B242" s="812"/>
      <c r="C242" s="730"/>
      <c r="D242" s="158"/>
      <c r="E242" s="158"/>
      <c r="F242" s="814"/>
      <c r="G242" s="736"/>
      <c r="H242" s="105"/>
      <c r="I242" s="161"/>
      <c r="J242" s="105"/>
      <c r="K242" s="160"/>
      <c r="L242" s="150"/>
      <c r="M242" s="727"/>
      <c r="N242" s="720"/>
      <c r="O242" s="810"/>
      <c r="P242" s="720"/>
      <c r="Q242" s="715"/>
      <c r="R242" s="713"/>
      <c r="S242" s="140"/>
      <c r="T242" s="180"/>
      <c r="U242" s="52" t="s">
        <v>467</v>
      </c>
      <c r="V242" s="145"/>
      <c r="W242" s="145"/>
      <c r="X242" s="145"/>
      <c r="Y242" s="99" t="str">
        <f t="shared" si="37"/>
        <v/>
      </c>
      <c r="Z242" s="145"/>
      <c r="AA242" s="99" t="str">
        <f t="shared" si="38"/>
        <v/>
      </c>
      <c r="AB242" s="140"/>
      <c r="AC242" s="99" t="str">
        <f t="shared" si="39"/>
        <v/>
      </c>
      <c r="AD242" s="140"/>
      <c r="AE242" s="99" t="str">
        <f t="shared" si="40"/>
        <v/>
      </c>
      <c r="AF242" s="140"/>
      <c r="AG242" s="99" t="str">
        <f t="shared" si="41"/>
        <v/>
      </c>
      <c r="AH242" s="140"/>
      <c r="AI242" s="99" t="str">
        <f t="shared" si="42"/>
        <v/>
      </c>
      <c r="AJ242" s="140"/>
      <c r="AK242" s="28" t="str">
        <f t="shared" si="43"/>
        <v/>
      </c>
      <c r="AL242" s="111" t="str">
        <f t="shared" si="44"/>
        <v/>
      </c>
      <c r="AM242" s="111" t="str">
        <f t="shared" si="45"/>
        <v/>
      </c>
      <c r="AN242" s="178"/>
      <c r="AO242" s="178"/>
      <c r="AP242" s="178"/>
      <c r="AQ242" s="178"/>
      <c r="AR242" s="178"/>
      <c r="AS242" s="178"/>
      <c r="AT242" s="178"/>
      <c r="AU242" s="179" t="str">
        <f>IFERROR(VLOOKUP(AT242,'Seguridad Información'!$I$61:$J$65,2,0),"")</f>
        <v/>
      </c>
      <c r="AV242" s="83"/>
      <c r="AW242" s="82" t="str">
        <f t="shared" si="36"/>
        <v/>
      </c>
      <c r="AX242" s="81" t="str">
        <f t="shared" si="46"/>
        <v/>
      </c>
      <c r="AY242" s="22" t="str">
        <f>IFERROR(VLOOKUP((CONCATENATE(AM242,AX242)),Listados!$U$3:$V$11,2,FALSE),"")</f>
        <v/>
      </c>
      <c r="AZ242" s="111">
        <f t="shared" si="47"/>
        <v>100</v>
      </c>
      <c r="BA242" s="717"/>
      <c r="BB242" s="761"/>
      <c r="BC242" s="142">
        <f>+IF(AND(W242="Preventivo",BB241="Fuerte"),2,IF(AND(W242="Preventivo",BB241="Moderado"),1,0))</f>
        <v>0</v>
      </c>
      <c r="BD242" s="68">
        <f>+IF(AND(W242="Detectivo/Correctivo",$BB241="Fuerte"),2,IF(AND(W242="Detectivo/Correctivo",$BB242="Moderado"),1,IF(AND(W242="Preventivo",$BB241="Fuerte"),1,0)))</f>
        <v>0</v>
      </c>
      <c r="BE242" s="142" t="e">
        <f>+N241-BC242</f>
        <v>#N/A</v>
      </c>
      <c r="BF242" s="142" t="e">
        <f>+P241-BD242</f>
        <v>#N/A</v>
      </c>
      <c r="BG242" s="713"/>
      <c r="BH242" s="713"/>
      <c r="BI242" s="713"/>
      <c r="BJ242" s="803"/>
      <c r="BK242" s="803"/>
      <c r="BL242" s="803"/>
      <c r="BM242" s="803"/>
    </row>
    <row r="243" spans="1:65" ht="65.150000000000006" customHeight="1" thickBot="1">
      <c r="A243" s="724"/>
      <c r="B243" s="812"/>
      <c r="C243" s="730"/>
      <c r="D243" s="158"/>
      <c r="E243" s="158"/>
      <c r="F243" s="814"/>
      <c r="G243" s="736"/>
      <c r="H243" s="105"/>
      <c r="I243" s="161"/>
      <c r="J243" s="105"/>
      <c r="K243" s="160"/>
      <c r="L243" s="150"/>
      <c r="M243" s="727"/>
      <c r="N243" s="720"/>
      <c r="O243" s="810"/>
      <c r="P243" s="720"/>
      <c r="Q243" s="715"/>
      <c r="R243" s="713"/>
      <c r="S243" s="140"/>
      <c r="T243" s="100"/>
      <c r="U243" s="52" t="s">
        <v>467</v>
      </c>
      <c r="V243" s="145"/>
      <c r="W243" s="145"/>
      <c r="X243" s="145"/>
      <c r="Y243" s="99" t="str">
        <f t="shared" si="37"/>
        <v/>
      </c>
      <c r="Z243" s="145"/>
      <c r="AA243" s="99" t="str">
        <f t="shared" si="38"/>
        <v/>
      </c>
      <c r="AB243" s="140"/>
      <c r="AC243" s="99" t="str">
        <f t="shared" si="39"/>
        <v/>
      </c>
      <c r="AD243" s="140"/>
      <c r="AE243" s="99" t="str">
        <f t="shared" si="40"/>
        <v/>
      </c>
      <c r="AF243" s="140"/>
      <c r="AG243" s="99" t="str">
        <f t="shared" si="41"/>
        <v/>
      </c>
      <c r="AH243" s="140"/>
      <c r="AI243" s="99" t="str">
        <f t="shared" si="42"/>
        <v/>
      </c>
      <c r="AJ243" s="140"/>
      <c r="AK243" s="28" t="str">
        <f t="shared" si="43"/>
        <v/>
      </c>
      <c r="AL243" s="111" t="str">
        <f t="shared" si="44"/>
        <v/>
      </c>
      <c r="AM243" s="111" t="str">
        <f t="shared" si="45"/>
        <v/>
      </c>
      <c r="AN243" s="178"/>
      <c r="AO243" s="178"/>
      <c r="AP243" s="178"/>
      <c r="AQ243" s="178"/>
      <c r="AR243" s="178"/>
      <c r="AS243" s="178"/>
      <c r="AT243" s="178"/>
      <c r="AU243" s="179" t="str">
        <f>IFERROR(VLOOKUP(AT243,'Seguridad Información'!$I$61:$J$65,2,0),"")</f>
        <v/>
      </c>
      <c r="AV243" s="83"/>
      <c r="AW243" s="82" t="str">
        <f t="shared" si="36"/>
        <v/>
      </c>
      <c r="AX243" s="81" t="str">
        <f t="shared" si="46"/>
        <v/>
      </c>
      <c r="AY243" s="22" t="str">
        <f>IFERROR(VLOOKUP((CONCATENATE(AM243,AX243)),Listados!$U$3:$V$11,2,FALSE),"")</f>
        <v/>
      </c>
      <c r="AZ243" s="111">
        <f t="shared" si="47"/>
        <v>100</v>
      </c>
      <c r="BA243" s="717"/>
      <c r="BB243" s="761"/>
      <c r="BC243" s="142">
        <f>+IF(AND(W243="Preventivo",BB241="Fuerte"),2,IF(AND(W243="Preventivo",BB241="Moderado"),1,0))</f>
        <v>0</v>
      </c>
      <c r="BD243" s="68">
        <f>+IF(AND(W243="Detectivo/Correctivo",$BB241="Fuerte"),2,IF(AND(W243="Detectivo/Correctivo",$BB243="Moderado"),1,IF(AND(W243="Preventivo",$BB241="Fuerte"),1,0)))</f>
        <v>0</v>
      </c>
      <c r="BE243" s="142" t="e">
        <f>+N241-BC243</f>
        <v>#N/A</v>
      </c>
      <c r="BF243" s="142" t="e">
        <f>+P241-BD243</f>
        <v>#N/A</v>
      </c>
      <c r="BG243" s="713"/>
      <c r="BH243" s="713"/>
      <c r="BI243" s="713"/>
      <c r="BJ243" s="803"/>
      <c r="BK243" s="803"/>
      <c r="BL243" s="803"/>
      <c r="BM243" s="803"/>
    </row>
    <row r="244" spans="1:65" ht="65.150000000000006" customHeight="1" thickBot="1">
      <c r="A244" s="724"/>
      <c r="B244" s="812"/>
      <c r="C244" s="730"/>
      <c r="D244" s="158"/>
      <c r="E244" s="158"/>
      <c r="F244" s="814"/>
      <c r="G244" s="736"/>
      <c r="H244" s="105"/>
      <c r="I244" s="161"/>
      <c r="J244" s="105"/>
      <c r="K244" s="160"/>
      <c r="L244" s="150"/>
      <c r="M244" s="727"/>
      <c r="N244" s="720"/>
      <c r="O244" s="810"/>
      <c r="P244" s="720"/>
      <c r="Q244" s="715"/>
      <c r="R244" s="713"/>
      <c r="S244" s="140"/>
      <c r="T244" s="101"/>
      <c r="U244" s="52" t="s">
        <v>467</v>
      </c>
      <c r="V244" s="145"/>
      <c r="W244" s="145"/>
      <c r="X244" s="145"/>
      <c r="Y244" s="99" t="str">
        <f t="shared" si="37"/>
        <v/>
      </c>
      <c r="Z244" s="145"/>
      <c r="AA244" s="99" t="str">
        <f t="shared" si="38"/>
        <v/>
      </c>
      <c r="AB244" s="140"/>
      <c r="AC244" s="99" t="str">
        <f t="shared" si="39"/>
        <v/>
      </c>
      <c r="AD244" s="140"/>
      <c r="AE244" s="99" t="str">
        <f t="shared" si="40"/>
        <v/>
      </c>
      <c r="AF244" s="140"/>
      <c r="AG244" s="99" t="str">
        <f t="shared" si="41"/>
        <v/>
      </c>
      <c r="AH244" s="140"/>
      <c r="AI244" s="99" t="str">
        <f t="shared" si="42"/>
        <v/>
      </c>
      <c r="AJ244" s="140"/>
      <c r="AK244" s="28" t="str">
        <f t="shared" si="43"/>
        <v/>
      </c>
      <c r="AL244" s="111" t="str">
        <f t="shared" si="44"/>
        <v/>
      </c>
      <c r="AM244" s="111" t="str">
        <f t="shared" si="45"/>
        <v/>
      </c>
      <c r="AN244" s="178"/>
      <c r="AO244" s="178"/>
      <c r="AP244" s="178"/>
      <c r="AQ244" s="178"/>
      <c r="AR244" s="178"/>
      <c r="AS244" s="178"/>
      <c r="AT244" s="178"/>
      <c r="AU244" s="179" t="str">
        <f>IFERROR(VLOOKUP(AT244,'Seguridad Información'!$I$61:$J$65,2,0),"")</f>
        <v/>
      </c>
      <c r="AV244" s="83"/>
      <c r="AW244" s="82" t="str">
        <f t="shared" si="36"/>
        <v/>
      </c>
      <c r="AX244" s="81" t="str">
        <f t="shared" si="46"/>
        <v/>
      </c>
      <c r="AY244" s="22" t="str">
        <f>IFERROR(VLOOKUP((CONCATENATE(AM244,AX244)),Listados!$U$3:$V$11,2,FALSE),"")</f>
        <v/>
      </c>
      <c r="AZ244" s="111">
        <f t="shared" si="47"/>
        <v>100</v>
      </c>
      <c r="BA244" s="717"/>
      <c r="BB244" s="761"/>
      <c r="BC244" s="142">
        <f>+IF(AND(W244="Preventivo",BB241="Fuerte"),2,IF(AND(W244="Preventivo",BB241="Moderado"),1,0))</f>
        <v>0</v>
      </c>
      <c r="BD244" s="68">
        <f>+IF(AND(W244="Detectivo/Correctivo",$BB241="Fuerte"),2,IF(AND(W244="Detectivo/Correctivo",$BB244="Moderado"),1,IF(AND(W244="Preventivo",$BB241="Fuerte"),1,0)))</f>
        <v>0</v>
      </c>
      <c r="BE244" s="142" t="e">
        <f>+N241-BC244</f>
        <v>#N/A</v>
      </c>
      <c r="BF244" s="142" t="e">
        <f>+P241-BD244</f>
        <v>#N/A</v>
      </c>
      <c r="BG244" s="713"/>
      <c r="BH244" s="713"/>
      <c r="BI244" s="713"/>
      <c r="BJ244" s="803"/>
      <c r="BK244" s="803"/>
      <c r="BL244" s="803"/>
      <c r="BM244" s="803"/>
    </row>
    <row r="245" spans="1:65" ht="65.150000000000006" customHeight="1" thickBot="1">
      <c r="A245" s="724"/>
      <c r="B245" s="812"/>
      <c r="C245" s="730"/>
      <c r="D245" s="116"/>
      <c r="E245" s="116"/>
      <c r="F245" s="814"/>
      <c r="G245" s="736"/>
      <c r="H245" s="105"/>
      <c r="I245" s="161"/>
      <c r="J245" s="105"/>
      <c r="K245" s="29"/>
      <c r="L245" s="150"/>
      <c r="M245" s="727"/>
      <c r="N245" s="720"/>
      <c r="O245" s="810"/>
      <c r="P245" s="720"/>
      <c r="Q245" s="715"/>
      <c r="R245" s="713"/>
      <c r="S245" s="140"/>
      <c r="T245" s="180"/>
      <c r="U245" s="52" t="s">
        <v>467</v>
      </c>
      <c r="V245" s="145"/>
      <c r="W245" s="145"/>
      <c r="X245" s="145"/>
      <c r="Y245" s="99" t="str">
        <f t="shared" si="37"/>
        <v/>
      </c>
      <c r="Z245" s="145"/>
      <c r="AA245" s="99" t="str">
        <f t="shared" si="38"/>
        <v/>
      </c>
      <c r="AB245" s="140"/>
      <c r="AC245" s="99" t="str">
        <f t="shared" si="39"/>
        <v/>
      </c>
      <c r="AD245" s="140"/>
      <c r="AE245" s="99" t="str">
        <f t="shared" si="40"/>
        <v/>
      </c>
      <c r="AF245" s="140"/>
      <c r="AG245" s="99" t="str">
        <f t="shared" si="41"/>
        <v/>
      </c>
      <c r="AH245" s="140"/>
      <c r="AI245" s="99" t="str">
        <f t="shared" si="42"/>
        <v/>
      </c>
      <c r="AJ245" s="140"/>
      <c r="AK245" s="28" t="str">
        <f t="shared" si="43"/>
        <v/>
      </c>
      <c r="AL245" s="111" t="str">
        <f t="shared" si="44"/>
        <v/>
      </c>
      <c r="AM245" s="111" t="str">
        <f t="shared" si="45"/>
        <v/>
      </c>
      <c r="AN245" s="178"/>
      <c r="AO245" s="178"/>
      <c r="AP245" s="178"/>
      <c r="AQ245" s="178"/>
      <c r="AR245" s="178"/>
      <c r="AS245" s="178"/>
      <c r="AT245" s="178"/>
      <c r="AU245" s="179" t="str">
        <f>IFERROR(VLOOKUP(AT245,'Seguridad Información'!$I$61:$J$65,2,0),"")</f>
        <v/>
      </c>
      <c r="AV245" s="83"/>
      <c r="AW245" s="82" t="str">
        <f t="shared" si="36"/>
        <v/>
      </c>
      <c r="AX245" s="81" t="str">
        <f t="shared" si="46"/>
        <v/>
      </c>
      <c r="AY245" s="22" t="str">
        <f>IFERROR(VLOOKUP((CONCATENATE(AM245,AX245)),Listados!$U$3:$V$11,2,FALSE),"")</f>
        <v/>
      </c>
      <c r="AZ245" s="111">
        <f t="shared" si="47"/>
        <v>100</v>
      </c>
      <c r="BA245" s="717"/>
      <c r="BB245" s="761"/>
      <c r="BC245" s="142">
        <f>+IF(AND(W245="Preventivo",BB241="Fuerte"),2,IF(AND(W245="Preventivo",BB241="Moderado"),1,0))</f>
        <v>0</v>
      </c>
      <c r="BD245" s="68">
        <f>+IF(AND(W245="Detectivo/Correctivo",$BB241="Fuerte"),2,IF(AND(W245="Detectivo/Correctivo",$BB245="Moderado"),1,IF(AND(W245="Preventivo",$BB241="Fuerte"),1,0)))</f>
        <v>0</v>
      </c>
      <c r="BE245" s="142" t="e">
        <f>+N241-BC245</f>
        <v>#N/A</v>
      </c>
      <c r="BF245" s="142" t="e">
        <f>+P241-BD245</f>
        <v>#N/A</v>
      </c>
      <c r="BG245" s="713"/>
      <c r="BH245" s="713"/>
      <c r="BI245" s="713"/>
      <c r="BJ245" s="803"/>
      <c r="BK245" s="803"/>
      <c r="BL245" s="803"/>
      <c r="BM245" s="803"/>
    </row>
    <row r="246" spans="1:65" ht="65.150000000000006" customHeight="1" thickBot="1">
      <c r="A246" s="725"/>
      <c r="B246" s="812"/>
      <c r="C246" s="731"/>
      <c r="D246" s="113"/>
      <c r="E246" s="113"/>
      <c r="F246" s="815"/>
      <c r="G246" s="781"/>
      <c r="H246" s="105"/>
      <c r="I246" s="161"/>
      <c r="J246" s="105"/>
      <c r="K246" s="30"/>
      <c r="L246" s="150"/>
      <c r="M246" s="727"/>
      <c r="N246" s="721"/>
      <c r="O246" s="810"/>
      <c r="P246" s="721"/>
      <c r="Q246" s="715"/>
      <c r="R246" s="714"/>
      <c r="S246" s="140"/>
      <c r="T246" s="102"/>
      <c r="U246" s="52" t="s">
        <v>467</v>
      </c>
      <c r="V246" s="145"/>
      <c r="W246" s="145"/>
      <c r="X246" s="145"/>
      <c r="Y246" s="99" t="str">
        <f t="shared" si="37"/>
        <v/>
      </c>
      <c r="Z246" s="145"/>
      <c r="AA246" s="99" t="str">
        <f t="shared" si="38"/>
        <v/>
      </c>
      <c r="AB246" s="140"/>
      <c r="AC246" s="99" t="str">
        <f t="shared" si="39"/>
        <v/>
      </c>
      <c r="AD246" s="140"/>
      <c r="AE246" s="99" t="str">
        <f t="shared" si="40"/>
        <v/>
      </c>
      <c r="AF246" s="140"/>
      <c r="AG246" s="99" t="str">
        <f t="shared" si="41"/>
        <v/>
      </c>
      <c r="AH246" s="140"/>
      <c r="AI246" s="99" t="str">
        <f t="shared" si="42"/>
        <v/>
      </c>
      <c r="AJ246" s="140"/>
      <c r="AK246" s="28" t="str">
        <f t="shared" si="43"/>
        <v/>
      </c>
      <c r="AL246" s="111" t="str">
        <f t="shared" si="44"/>
        <v/>
      </c>
      <c r="AM246" s="111" t="str">
        <f t="shared" si="45"/>
        <v/>
      </c>
      <c r="AN246" s="178"/>
      <c r="AO246" s="178"/>
      <c r="AP246" s="178"/>
      <c r="AQ246" s="178"/>
      <c r="AR246" s="178"/>
      <c r="AS246" s="178"/>
      <c r="AT246" s="178"/>
      <c r="AU246" s="179" t="str">
        <f>IFERROR(VLOOKUP(AT246,'Seguridad Información'!$I$61:$J$65,2,0),"")</f>
        <v/>
      </c>
      <c r="AV246" s="83"/>
      <c r="AW246" s="82" t="str">
        <f t="shared" si="36"/>
        <v/>
      </c>
      <c r="AX246" s="81" t="str">
        <f t="shared" si="46"/>
        <v/>
      </c>
      <c r="AY246" s="22" t="str">
        <f>IFERROR(VLOOKUP((CONCATENATE(AM246,AX246)),Listados!$U$3:$V$11,2,FALSE),"")</f>
        <v/>
      </c>
      <c r="AZ246" s="111">
        <f t="shared" si="47"/>
        <v>100</v>
      </c>
      <c r="BA246" s="718"/>
      <c r="BB246" s="761"/>
      <c r="BC246" s="142">
        <f>+IF(AND(W246="Preventivo",BB241="Fuerte"),2,IF(AND(W246="Preventivo",BB241="Moderado"),1,0))</f>
        <v>0</v>
      </c>
      <c r="BD246" s="68">
        <f>+IF(AND(W246="Detectivo/Correctivo",$BB241="Fuerte"),2,IF(AND(W246="Detectivo/Correctivo",$BB246="Moderado"),1,IF(AND(W246="Preventivo",$BB241="Fuerte"),1,0)))</f>
        <v>0</v>
      </c>
      <c r="BE246" s="142" t="e">
        <f>+N241-BC246</f>
        <v>#N/A</v>
      </c>
      <c r="BF246" s="142" t="e">
        <f>+P241-BD246</f>
        <v>#N/A</v>
      </c>
      <c r="BG246" s="714"/>
      <c r="BH246" s="714"/>
      <c r="BI246" s="714"/>
      <c r="BJ246" s="804"/>
      <c r="BK246" s="804"/>
      <c r="BL246" s="804"/>
      <c r="BM246" s="804"/>
    </row>
    <row r="247" spans="1:65" ht="65.150000000000006" customHeight="1" thickBot="1">
      <c r="A247" s="723">
        <v>41</v>
      </c>
      <c r="B247" s="811"/>
      <c r="C247" s="729" t="str">
        <f>IFERROR(VLOOKUP(B247,Listados!B$3:C$20,2,FALSE),"")</f>
        <v/>
      </c>
      <c r="D247" s="114"/>
      <c r="E247" s="114"/>
      <c r="F247" s="813"/>
      <c r="G247" s="735"/>
      <c r="H247" s="105"/>
      <c r="I247" s="161"/>
      <c r="J247" s="105"/>
      <c r="K247" s="109"/>
      <c r="L247" s="18"/>
      <c r="M247" s="762"/>
      <c r="N247" s="719" t="e">
        <f>+VLOOKUP(M247,Listados!$K$8:$L$12,2,0)</f>
        <v>#N/A</v>
      </c>
      <c r="O247" s="809"/>
      <c r="P247" s="719" t="e">
        <f>+VLOOKUP(O247,Listados!$K$13:$L$17,2,0)</f>
        <v>#N/A</v>
      </c>
      <c r="Q247" s="714" t="str">
        <f>IF(AND(M247&lt;&gt;"",O247&lt;&gt;""),VLOOKUP(M247&amp;O247,Listados!$M$3:$N$27,2,FALSE),"")</f>
        <v/>
      </c>
      <c r="R247" s="712" t="e">
        <f>+VLOOKUP(Q247,Listados!$P$3:$Q$6,2,FALSE)</f>
        <v>#N/A</v>
      </c>
      <c r="S247" s="140"/>
      <c r="T247" s="98"/>
      <c r="U247" s="52" t="s">
        <v>467</v>
      </c>
      <c r="V247" s="145"/>
      <c r="W247" s="145"/>
      <c r="X247" s="145"/>
      <c r="Y247" s="99" t="str">
        <f t="shared" si="37"/>
        <v/>
      </c>
      <c r="Z247" s="145"/>
      <c r="AA247" s="99" t="str">
        <f t="shared" si="38"/>
        <v/>
      </c>
      <c r="AB247" s="140"/>
      <c r="AC247" s="99" t="str">
        <f t="shared" si="39"/>
        <v/>
      </c>
      <c r="AD247" s="140"/>
      <c r="AE247" s="99" t="str">
        <f t="shared" si="40"/>
        <v/>
      </c>
      <c r="AF247" s="140"/>
      <c r="AG247" s="99" t="str">
        <f t="shared" si="41"/>
        <v/>
      </c>
      <c r="AH247" s="140"/>
      <c r="AI247" s="99" t="str">
        <f t="shared" si="42"/>
        <v/>
      </c>
      <c r="AJ247" s="140"/>
      <c r="AK247" s="28" t="str">
        <f t="shared" si="43"/>
        <v/>
      </c>
      <c r="AL247" s="111" t="str">
        <f t="shared" si="44"/>
        <v/>
      </c>
      <c r="AM247" s="111" t="str">
        <f t="shared" si="45"/>
        <v/>
      </c>
      <c r="AN247" s="178"/>
      <c r="AO247" s="178"/>
      <c r="AP247" s="178"/>
      <c r="AQ247" s="178"/>
      <c r="AR247" s="178"/>
      <c r="AS247" s="178"/>
      <c r="AT247" s="178"/>
      <c r="AU247" s="179" t="str">
        <f>IFERROR(VLOOKUP(AT247,'Seguridad Información'!$I$61:$J$65,2,0),"")</f>
        <v/>
      </c>
      <c r="AV247" s="83"/>
      <c r="AW247" s="82" t="str">
        <f t="shared" si="36"/>
        <v/>
      </c>
      <c r="AX247" s="81" t="str">
        <f t="shared" si="46"/>
        <v/>
      </c>
      <c r="AY247" s="22" t="str">
        <f>IFERROR(VLOOKUP((CONCATENATE(AM247,AX247)),Listados!$U$3:$V$11,2,FALSE),"")</f>
        <v/>
      </c>
      <c r="AZ247" s="111">
        <f t="shared" si="47"/>
        <v>100</v>
      </c>
      <c r="BA247" s="716">
        <f>AVERAGE(AZ247:AZ252)</f>
        <v>100</v>
      </c>
      <c r="BB247" s="718" t="str">
        <f>IF(BA247&lt;=50, "Débil", IF(BA247&lt;=99,"Moderado","Fuerte"))</f>
        <v>Fuerte</v>
      </c>
      <c r="BC247" s="142">
        <f>+IF(AND(W247="Preventivo",BB247="Fuerte"),2,IF(AND(W247="Preventivo",BB247="Moderado"),1,0))</f>
        <v>0</v>
      </c>
      <c r="BD247" s="68">
        <f>+IF(AND(W247="Detectivo/Correctivo",$BB247="Fuerte"),2,IF(AND(W247="Detectivo/Correctivo",$BB247="Moderado"),1,IF(AND(W247="Preventivo",$BB247="Fuerte"),1,0)))</f>
        <v>0</v>
      </c>
      <c r="BE247" s="142" t="e">
        <f>+N247-BC247</f>
        <v>#N/A</v>
      </c>
      <c r="BF247" s="142" t="e">
        <f>+P247-BD247</f>
        <v>#N/A</v>
      </c>
      <c r="BG247" s="712" t="e">
        <f>+VLOOKUP(MIN(BE247,BE248,BE249,BE250,BE251,BE252),Listados!$J$18:$K$24,2,TRUE)</f>
        <v>#N/A</v>
      </c>
      <c r="BH247" s="712" t="e">
        <f>+VLOOKUP(MIN(BF247,BF248,BF249,BF250,BF251,BF252),Listados!$J$27:$K$32,2,TRUE)</f>
        <v>#N/A</v>
      </c>
      <c r="BI247" s="712" t="e">
        <f>IF(AND(BG247&lt;&gt;"",BH247&lt;&gt;""),VLOOKUP(BG247&amp;BH247,Listados!$M$3:$N$27,2,FALSE),"")</f>
        <v>#N/A</v>
      </c>
      <c r="BJ247" s="802" t="e">
        <f>+IF($R247="Asumir el riesgo","NA","")</f>
        <v>#N/A</v>
      </c>
      <c r="BK247" s="802" t="e">
        <f>+IF($R247="Asumir el riesgo","NA","")</f>
        <v>#N/A</v>
      </c>
      <c r="BL247" s="802" t="e">
        <f>+IF($R247="Asumir el riesgo","NA","")</f>
        <v>#N/A</v>
      </c>
      <c r="BM247" s="802" t="e">
        <f>+IF($R247="Asumir el riesgo","NA","")</f>
        <v>#N/A</v>
      </c>
    </row>
    <row r="248" spans="1:65" ht="65.150000000000006" customHeight="1" thickBot="1">
      <c r="A248" s="724"/>
      <c r="B248" s="812"/>
      <c r="C248" s="730"/>
      <c r="D248" s="158"/>
      <c r="E248" s="158"/>
      <c r="F248" s="814"/>
      <c r="G248" s="736"/>
      <c r="H248" s="105"/>
      <c r="I248" s="161"/>
      <c r="J248" s="105"/>
      <c r="K248" s="160"/>
      <c r="L248" s="150"/>
      <c r="M248" s="727"/>
      <c r="N248" s="720"/>
      <c r="O248" s="810"/>
      <c r="P248" s="720"/>
      <c r="Q248" s="715"/>
      <c r="R248" s="713"/>
      <c r="S248" s="140"/>
      <c r="T248" s="180"/>
      <c r="U248" s="52" t="s">
        <v>467</v>
      </c>
      <c r="V248" s="145"/>
      <c r="W248" s="145"/>
      <c r="X248" s="145"/>
      <c r="Y248" s="99" t="str">
        <f t="shared" si="37"/>
        <v/>
      </c>
      <c r="Z248" s="145"/>
      <c r="AA248" s="99" t="str">
        <f t="shared" si="38"/>
        <v/>
      </c>
      <c r="AB248" s="140"/>
      <c r="AC248" s="99" t="str">
        <f t="shared" si="39"/>
        <v/>
      </c>
      <c r="AD248" s="140"/>
      <c r="AE248" s="99" t="str">
        <f t="shared" si="40"/>
        <v/>
      </c>
      <c r="AF248" s="140"/>
      <c r="AG248" s="99" t="str">
        <f t="shared" si="41"/>
        <v/>
      </c>
      <c r="AH248" s="140"/>
      <c r="AI248" s="99" t="str">
        <f t="shared" si="42"/>
        <v/>
      </c>
      <c r="AJ248" s="140"/>
      <c r="AK248" s="28" t="str">
        <f t="shared" si="43"/>
        <v/>
      </c>
      <c r="AL248" s="111" t="str">
        <f t="shared" si="44"/>
        <v/>
      </c>
      <c r="AM248" s="111" t="str">
        <f t="shared" si="45"/>
        <v/>
      </c>
      <c r="AN248" s="178"/>
      <c r="AO248" s="178"/>
      <c r="AP248" s="178"/>
      <c r="AQ248" s="178"/>
      <c r="AR248" s="178"/>
      <c r="AS248" s="178"/>
      <c r="AT248" s="178"/>
      <c r="AU248" s="179" t="str">
        <f>IFERROR(VLOOKUP(AT248,'Seguridad Información'!$I$61:$J$65,2,0),"")</f>
        <v/>
      </c>
      <c r="AV248" s="83"/>
      <c r="AW248" s="82" t="str">
        <f t="shared" si="36"/>
        <v/>
      </c>
      <c r="AX248" s="81" t="str">
        <f t="shared" si="46"/>
        <v/>
      </c>
      <c r="AY248" s="22" t="str">
        <f>IFERROR(VLOOKUP((CONCATENATE(AM248,AX248)),Listados!$U$3:$V$11,2,FALSE),"")</f>
        <v/>
      </c>
      <c r="AZ248" s="111">
        <f t="shared" si="47"/>
        <v>100</v>
      </c>
      <c r="BA248" s="717"/>
      <c r="BB248" s="761"/>
      <c r="BC248" s="142">
        <f>+IF(AND(W248="Preventivo",BB247="Fuerte"),2,IF(AND(W248="Preventivo",BB247="Moderado"),1,0))</f>
        <v>0</v>
      </c>
      <c r="BD248" s="68">
        <f>+IF(AND(W248="Detectivo/Correctivo",$BB247="Fuerte"),2,IF(AND(W248="Detectivo/Correctivo",$BB248="Moderado"),1,IF(AND(W248="Preventivo",$BB247="Fuerte"),1,0)))</f>
        <v>0</v>
      </c>
      <c r="BE248" s="142" t="e">
        <f>+N247-BC248</f>
        <v>#N/A</v>
      </c>
      <c r="BF248" s="142" t="e">
        <f>+P247-BD248</f>
        <v>#N/A</v>
      </c>
      <c r="BG248" s="713"/>
      <c r="BH248" s="713"/>
      <c r="BI248" s="713"/>
      <c r="BJ248" s="803"/>
      <c r="BK248" s="803"/>
      <c r="BL248" s="803"/>
      <c r="BM248" s="803"/>
    </row>
    <row r="249" spans="1:65" ht="65.150000000000006" customHeight="1" thickBot="1">
      <c r="A249" s="724"/>
      <c r="B249" s="812"/>
      <c r="C249" s="730"/>
      <c r="D249" s="158"/>
      <c r="E249" s="158"/>
      <c r="F249" s="814"/>
      <c r="G249" s="736"/>
      <c r="H249" s="105"/>
      <c r="I249" s="161"/>
      <c r="J249" s="105"/>
      <c r="K249" s="160"/>
      <c r="L249" s="150"/>
      <c r="M249" s="727"/>
      <c r="N249" s="720"/>
      <c r="O249" s="810"/>
      <c r="P249" s="720"/>
      <c r="Q249" s="715"/>
      <c r="R249" s="713"/>
      <c r="S249" s="140"/>
      <c r="T249" s="100"/>
      <c r="U249" s="52" t="s">
        <v>467</v>
      </c>
      <c r="V249" s="145"/>
      <c r="W249" s="145"/>
      <c r="X249" s="145"/>
      <c r="Y249" s="99" t="str">
        <f t="shared" si="37"/>
        <v/>
      </c>
      <c r="Z249" s="145"/>
      <c r="AA249" s="99" t="str">
        <f t="shared" si="38"/>
        <v/>
      </c>
      <c r="AB249" s="140"/>
      <c r="AC249" s="99" t="str">
        <f t="shared" si="39"/>
        <v/>
      </c>
      <c r="AD249" s="140"/>
      <c r="AE249" s="99" t="str">
        <f t="shared" si="40"/>
        <v/>
      </c>
      <c r="AF249" s="140"/>
      <c r="AG249" s="99" t="str">
        <f t="shared" si="41"/>
        <v/>
      </c>
      <c r="AH249" s="140"/>
      <c r="AI249" s="99" t="str">
        <f t="shared" si="42"/>
        <v/>
      </c>
      <c r="AJ249" s="140"/>
      <c r="AK249" s="28" t="str">
        <f t="shared" si="43"/>
        <v/>
      </c>
      <c r="AL249" s="111" t="str">
        <f t="shared" si="44"/>
        <v/>
      </c>
      <c r="AM249" s="111" t="str">
        <f t="shared" si="45"/>
        <v/>
      </c>
      <c r="AN249" s="178"/>
      <c r="AO249" s="178"/>
      <c r="AP249" s="178"/>
      <c r="AQ249" s="178"/>
      <c r="AR249" s="178"/>
      <c r="AS249" s="178"/>
      <c r="AT249" s="178"/>
      <c r="AU249" s="179" t="str">
        <f>IFERROR(VLOOKUP(AT249,'Seguridad Información'!$I$61:$J$65,2,0),"")</f>
        <v/>
      </c>
      <c r="AV249" s="83"/>
      <c r="AW249" s="82" t="str">
        <f t="shared" si="36"/>
        <v/>
      </c>
      <c r="AX249" s="81" t="str">
        <f t="shared" si="46"/>
        <v/>
      </c>
      <c r="AY249" s="22" t="str">
        <f>IFERROR(VLOOKUP((CONCATENATE(AM249,AX249)),Listados!$U$3:$V$11,2,FALSE),"")</f>
        <v/>
      </c>
      <c r="AZ249" s="111">
        <f t="shared" si="47"/>
        <v>100</v>
      </c>
      <c r="BA249" s="717"/>
      <c r="BB249" s="761"/>
      <c r="BC249" s="142">
        <f>+IF(AND(W249="Preventivo",BB247="Fuerte"),2,IF(AND(W249="Preventivo",BB247="Moderado"),1,0))</f>
        <v>0</v>
      </c>
      <c r="BD249" s="68">
        <f>+IF(AND(W249="Detectivo/Correctivo",$BB247="Fuerte"),2,IF(AND(W249="Detectivo/Correctivo",$BB249="Moderado"),1,IF(AND(W249="Preventivo",$BB247="Fuerte"),1,0)))</f>
        <v>0</v>
      </c>
      <c r="BE249" s="142" t="e">
        <f>+N247-BC249</f>
        <v>#N/A</v>
      </c>
      <c r="BF249" s="142" t="e">
        <f>+P247-BD249</f>
        <v>#N/A</v>
      </c>
      <c r="BG249" s="713"/>
      <c r="BH249" s="713"/>
      <c r="BI249" s="713"/>
      <c r="BJ249" s="803"/>
      <c r="BK249" s="803"/>
      <c r="BL249" s="803"/>
      <c r="BM249" s="803"/>
    </row>
    <row r="250" spans="1:65" ht="65.150000000000006" customHeight="1" thickBot="1">
      <c r="A250" s="724"/>
      <c r="B250" s="812"/>
      <c r="C250" s="730"/>
      <c r="D250" s="158"/>
      <c r="E250" s="158"/>
      <c r="F250" s="814"/>
      <c r="G250" s="736"/>
      <c r="H250" s="105"/>
      <c r="I250" s="161"/>
      <c r="J250" s="105"/>
      <c r="K250" s="160"/>
      <c r="L250" s="150"/>
      <c r="M250" s="727"/>
      <c r="N250" s="720"/>
      <c r="O250" s="810"/>
      <c r="P250" s="720"/>
      <c r="Q250" s="715"/>
      <c r="R250" s="713"/>
      <c r="S250" s="140"/>
      <c r="T250" s="101"/>
      <c r="U250" s="52" t="s">
        <v>467</v>
      </c>
      <c r="V250" s="145"/>
      <c r="W250" s="145"/>
      <c r="X250" s="145"/>
      <c r="Y250" s="99" t="str">
        <f t="shared" si="37"/>
        <v/>
      </c>
      <c r="Z250" s="145"/>
      <c r="AA250" s="99" t="str">
        <f t="shared" si="38"/>
        <v/>
      </c>
      <c r="AB250" s="140"/>
      <c r="AC250" s="99" t="str">
        <f t="shared" si="39"/>
        <v/>
      </c>
      <c r="AD250" s="140"/>
      <c r="AE250" s="99" t="str">
        <f t="shared" si="40"/>
        <v/>
      </c>
      <c r="AF250" s="140"/>
      <c r="AG250" s="99" t="str">
        <f t="shared" si="41"/>
        <v/>
      </c>
      <c r="AH250" s="140"/>
      <c r="AI250" s="99" t="str">
        <f t="shared" si="42"/>
        <v/>
      </c>
      <c r="AJ250" s="140"/>
      <c r="AK250" s="28" t="str">
        <f t="shared" si="43"/>
        <v/>
      </c>
      <c r="AL250" s="111" t="str">
        <f t="shared" si="44"/>
        <v/>
      </c>
      <c r="AM250" s="111" t="str">
        <f t="shared" si="45"/>
        <v/>
      </c>
      <c r="AN250" s="178"/>
      <c r="AO250" s="178"/>
      <c r="AP250" s="178"/>
      <c r="AQ250" s="178"/>
      <c r="AR250" s="178"/>
      <c r="AS250" s="178"/>
      <c r="AT250" s="178"/>
      <c r="AU250" s="179" t="str">
        <f>IFERROR(VLOOKUP(AT250,'Seguridad Información'!$I$61:$J$65,2,0),"")</f>
        <v/>
      </c>
      <c r="AV250" s="83"/>
      <c r="AW250" s="82" t="str">
        <f t="shared" si="36"/>
        <v/>
      </c>
      <c r="AX250" s="81" t="str">
        <f t="shared" si="46"/>
        <v/>
      </c>
      <c r="AY250" s="22" t="str">
        <f>IFERROR(VLOOKUP((CONCATENATE(AM250,AX250)),Listados!$U$3:$V$11,2,FALSE),"")</f>
        <v/>
      </c>
      <c r="AZ250" s="111">
        <f t="shared" si="47"/>
        <v>100</v>
      </c>
      <c r="BA250" s="717"/>
      <c r="BB250" s="761"/>
      <c r="BC250" s="142">
        <f>+IF(AND(W250="Preventivo",BB247="Fuerte"),2,IF(AND(W250="Preventivo",BB247="Moderado"),1,0))</f>
        <v>0</v>
      </c>
      <c r="BD250" s="68">
        <f>+IF(AND(W250="Detectivo/Correctivo",$BB247="Fuerte"),2,IF(AND(W250="Detectivo/Correctivo",$BB250="Moderado"),1,IF(AND(W250="Preventivo",$BB247="Fuerte"),1,0)))</f>
        <v>0</v>
      </c>
      <c r="BE250" s="142" t="e">
        <f>+N247-BC250</f>
        <v>#N/A</v>
      </c>
      <c r="BF250" s="142" t="e">
        <f>+P247-BD250</f>
        <v>#N/A</v>
      </c>
      <c r="BG250" s="713"/>
      <c r="BH250" s="713"/>
      <c r="BI250" s="713"/>
      <c r="BJ250" s="803"/>
      <c r="BK250" s="803"/>
      <c r="BL250" s="803"/>
      <c r="BM250" s="803"/>
    </row>
    <row r="251" spans="1:65" ht="65.150000000000006" customHeight="1" thickBot="1">
      <c r="A251" s="724"/>
      <c r="B251" s="812"/>
      <c r="C251" s="730"/>
      <c r="D251" s="116"/>
      <c r="E251" s="116"/>
      <c r="F251" s="814"/>
      <c r="G251" s="736"/>
      <c r="H251" s="105"/>
      <c r="I251" s="161"/>
      <c r="J251" s="105"/>
      <c r="K251" s="29"/>
      <c r="L251" s="150"/>
      <c r="M251" s="727"/>
      <c r="N251" s="720"/>
      <c r="O251" s="810"/>
      <c r="P251" s="720"/>
      <c r="Q251" s="715"/>
      <c r="R251" s="713"/>
      <c r="S251" s="140"/>
      <c r="T251" s="180"/>
      <c r="U251" s="52" t="s">
        <v>467</v>
      </c>
      <c r="V251" s="145"/>
      <c r="W251" s="145"/>
      <c r="X251" s="145"/>
      <c r="Y251" s="99" t="str">
        <f t="shared" si="37"/>
        <v/>
      </c>
      <c r="Z251" s="145"/>
      <c r="AA251" s="99" t="str">
        <f t="shared" si="38"/>
        <v/>
      </c>
      <c r="AB251" s="140"/>
      <c r="AC251" s="99" t="str">
        <f t="shared" si="39"/>
        <v/>
      </c>
      <c r="AD251" s="140"/>
      <c r="AE251" s="99" t="str">
        <f t="shared" si="40"/>
        <v/>
      </c>
      <c r="AF251" s="140"/>
      <c r="AG251" s="99" t="str">
        <f t="shared" si="41"/>
        <v/>
      </c>
      <c r="AH251" s="140"/>
      <c r="AI251" s="99" t="str">
        <f t="shared" si="42"/>
        <v/>
      </c>
      <c r="AJ251" s="140"/>
      <c r="AK251" s="28" t="str">
        <f t="shared" si="43"/>
        <v/>
      </c>
      <c r="AL251" s="111" t="str">
        <f t="shared" si="44"/>
        <v/>
      </c>
      <c r="AM251" s="111" t="str">
        <f t="shared" si="45"/>
        <v/>
      </c>
      <c r="AN251" s="178"/>
      <c r="AO251" s="178"/>
      <c r="AP251" s="178"/>
      <c r="AQ251" s="178"/>
      <c r="AR251" s="178"/>
      <c r="AS251" s="178"/>
      <c r="AT251" s="178"/>
      <c r="AU251" s="179" t="str">
        <f>IFERROR(VLOOKUP(AT251,'Seguridad Información'!$I$61:$J$65,2,0),"")</f>
        <v/>
      </c>
      <c r="AV251" s="83"/>
      <c r="AW251" s="82" t="str">
        <f t="shared" si="36"/>
        <v/>
      </c>
      <c r="AX251" s="81" t="str">
        <f t="shared" si="46"/>
        <v/>
      </c>
      <c r="AY251" s="22" t="str">
        <f>IFERROR(VLOOKUP((CONCATENATE(AM251,AX251)),Listados!$U$3:$V$11,2,FALSE),"")</f>
        <v/>
      </c>
      <c r="AZ251" s="111">
        <f t="shared" si="47"/>
        <v>100</v>
      </c>
      <c r="BA251" s="717"/>
      <c r="BB251" s="761"/>
      <c r="BC251" s="142">
        <f>+IF(AND(W251="Preventivo",BB247="Fuerte"),2,IF(AND(W251="Preventivo",BB247="Moderado"),1,0))</f>
        <v>0</v>
      </c>
      <c r="BD251" s="68">
        <f>+IF(AND(W251="Detectivo/Correctivo",$BB247="Fuerte"),2,IF(AND(W251="Detectivo/Correctivo",$BB251="Moderado"),1,IF(AND(W251="Preventivo",$BB247="Fuerte"),1,0)))</f>
        <v>0</v>
      </c>
      <c r="BE251" s="142" t="e">
        <f>+N247-BC251</f>
        <v>#N/A</v>
      </c>
      <c r="BF251" s="142" t="e">
        <f>+P247-BD251</f>
        <v>#N/A</v>
      </c>
      <c r="BG251" s="713"/>
      <c r="BH251" s="713"/>
      <c r="BI251" s="713"/>
      <c r="BJ251" s="803"/>
      <c r="BK251" s="803"/>
      <c r="BL251" s="803"/>
      <c r="BM251" s="803"/>
    </row>
    <row r="252" spans="1:65" ht="65.150000000000006" customHeight="1" thickBot="1">
      <c r="A252" s="725"/>
      <c r="B252" s="812"/>
      <c r="C252" s="731"/>
      <c r="D252" s="113"/>
      <c r="E252" s="113"/>
      <c r="F252" s="815"/>
      <c r="G252" s="781"/>
      <c r="H252" s="105"/>
      <c r="I252" s="161"/>
      <c r="J252" s="105"/>
      <c r="K252" s="30"/>
      <c r="L252" s="150"/>
      <c r="M252" s="727"/>
      <c r="N252" s="721"/>
      <c r="O252" s="810"/>
      <c r="P252" s="721"/>
      <c r="Q252" s="715"/>
      <c r="R252" s="714"/>
      <c r="S252" s="140"/>
      <c r="T252" s="102"/>
      <c r="U252" s="52" t="s">
        <v>467</v>
      </c>
      <c r="V252" s="145"/>
      <c r="W252" s="145"/>
      <c r="X252" s="145"/>
      <c r="Y252" s="99" t="str">
        <f t="shared" si="37"/>
        <v/>
      </c>
      <c r="Z252" s="145"/>
      <c r="AA252" s="99" t="str">
        <f t="shared" si="38"/>
        <v/>
      </c>
      <c r="AB252" s="140"/>
      <c r="AC252" s="99" t="str">
        <f t="shared" si="39"/>
        <v/>
      </c>
      <c r="AD252" s="140"/>
      <c r="AE252" s="99" t="str">
        <f t="shared" si="40"/>
        <v/>
      </c>
      <c r="AF252" s="140"/>
      <c r="AG252" s="99" t="str">
        <f t="shared" si="41"/>
        <v/>
      </c>
      <c r="AH252" s="140"/>
      <c r="AI252" s="99" t="str">
        <f t="shared" si="42"/>
        <v/>
      </c>
      <c r="AJ252" s="140"/>
      <c r="AK252" s="28" t="str">
        <f t="shared" si="43"/>
        <v/>
      </c>
      <c r="AL252" s="111" t="str">
        <f t="shared" si="44"/>
        <v/>
      </c>
      <c r="AM252" s="111" t="str">
        <f t="shared" si="45"/>
        <v/>
      </c>
      <c r="AN252" s="178"/>
      <c r="AO252" s="178"/>
      <c r="AP252" s="178"/>
      <c r="AQ252" s="178"/>
      <c r="AR252" s="178"/>
      <c r="AS252" s="178"/>
      <c r="AT252" s="178"/>
      <c r="AU252" s="179" t="str">
        <f>IFERROR(VLOOKUP(AT252,'Seguridad Información'!$I$61:$J$65,2,0),"")</f>
        <v/>
      </c>
      <c r="AV252" s="83"/>
      <c r="AW252" s="82" t="str">
        <f t="shared" si="36"/>
        <v/>
      </c>
      <c r="AX252" s="81" t="str">
        <f t="shared" si="46"/>
        <v/>
      </c>
      <c r="AY252" s="22" t="str">
        <f>IFERROR(VLOOKUP((CONCATENATE(AM252,AX252)),Listados!$U$3:$V$11,2,FALSE),"")</f>
        <v/>
      </c>
      <c r="AZ252" s="111">
        <f t="shared" si="47"/>
        <v>100</v>
      </c>
      <c r="BA252" s="718"/>
      <c r="BB252" s="761"/>
      <c r="BC252" s="142">
        <f>+IF(AND(W252="Preventivo",BB247="Fuerte"),2,IF(AND(W252="Preventivo",BB247="Moderado"),1,0))</f>
        <v>0</v>
      </c>
      <c r="BD252" s="68">
        <f>+IF(AND(W252="Detectivo/Correctivo",$BB247="Fuerte"),2,IF(AND(W252="Detectivo/Correctivo",$BB252="Moderado"),1,IF(AND(W252="Preventivo",$BB247="Fuerte"),1,0)))</f>
        <v>0</v>
      </c>
      <c r="BE252" s="142" t="e">
        <f>+N247-BC252</f>
        <v>#N/A</v>
      </c>
      <c r="BF252" s="142" t="e">
        <f>+P247-BD252</f>
        <v>#N/A</v>
      </c>
      <c r="BG252" s="714"/>
      <c r="BH252" s="714"/>
      <c r="BI252" s="714"/>
      <c r="BJ252" s="804"/>
      <c r="BK252" s="804"/>
      <c r="BL252" s="804"/>
      <c r="BM252" s="804"/>
    </row>
    <row r="253" spans="1:65" ht="65.150000000000006" customHeight="1" thickBot="1">
      <c r="A253" s="723">
        <v>42</v>
      </c>
      <c r="B253" s="811"/>
      <c r="C253" s="729" t="str">
        <f>IFERROR(VLOOKUP(B253,Listados!B$3:C$20,2,FALSE),"")</f>
        <v/>
      </c>
      <c r="D253" s="114"/>
      <c r="E253" s="114"/>
      <c r="F253" s="813"/>
      <c r="G253" s="735"/>
      <c r="H253" s="105"/>
      <c r="I253" s="161"/>
      <c r="J253" s="105"/>
      <c r="K253" s="109"/>
      <c r="L253" s="18"/>
      <c r="M253" s="762"/>
      <c r="N253" s="719" t="e">
        <f>+VLOOKUP(M253,Listados!$K$8:$L$12,2,0)</f>
        <v>#N/A</v>
      </c>
      <c r="O253" s="809"/>
      <c r="P253" s="719" t="e">
        <f>+VLOOKUP(O253,Listados!$K$13:$L$17,2,0)</f>
        <v>#N/A</v>
      </c>
      <c r="Q253" s="714" t="str">
        <f>IF(AND(M253&lt;&gt;"",O253&lt;&gt;""),VLOOKUP(M253&amp;O253,Listados!$M$3:$N$27,2,FALSE),"")</f>
        <v/>
      </c>
      <c r="R253" s="712" t="e">
        <f>+VLOOKUP(Q253,Listados!$P$3:$Q$6,2,FALSE)</f>
        <v>#N/A</v>
      </c>
      <c r="S253" s="140"/>
      <c r="T253" s="98"/>
      <c r="U253" s="52" t="s">
        <v>467</v>
      </c>
      <c r="V253" s="145"/>
      <c r="W253" s="145"/>
      <c r="X253" s="145"/>
      <c r="Y253" s="99" t="str">
        <f t="shared" si="37"/>
        <v/>
      </c>
      <c r="Z253" s="145"/>
      <c r="AA253" s="99" t="str">
        <f t="shared" si="38"/>
        <v/>
      </c>
      <c r="AB253" s="140"/>
      <c r="AC253" s="99" t="str">
        <f t="shared" si="39"/>
        <v/>
      </c>
      <c r="AD253" s="140"/>
      <c r="AE253" s="99" t="str">
        <f t="shared" si="40"/>
        <v/>
      </c>
      <c r="AF253" s="140"/>
      <c r="AG253" s="99" t="str">
        <f t="shared" si="41"/>
        <v/>
      </c>
      <c r="AH253" s="140"/>
      <c r="AI253" s="99" t="str">
        <f t="shared" si="42"/>
        <v/>
      </c>
      <c r="AJ253" s="140"/>
      <c r="AK253" s="28" t="str">
        <f t="shared" si="43"/>
        <v/>
      </c>
      <c r="AL253" s="111" t="str">
        <f t="shared" si="44"/>
        <v/>
      </c>
      <c r="AM253" s="111" t="str">
        <f t="shared" si="45"/>
        <v/>
      </c>
      <c r="AN253" s="178"/>
      <c r="AO253" s="178"/>
      <c r="AP253" s="178"/>
      <c r="AQ253" s="178"/>
      <c r="AR253" s="178"/>
      <c r="AS253" s="178"/>
      <c r="AT253" s="178"/>
      <c r="AU253" s="179" t="str">
        <f>IFERROR(VLOOKUP(AT253,'Seguridad Información'!$I$61:$J$65,2,0),"")</f>
        <v/>
      </c>
      <c r="AV253" s="83"/>
      <c r="AW253" s="82" t="str">
        <f t="shared" si="36"/>
        <v/>
      </c>
      <c r="AX253" s="81" t="str">
        <f t="shared" si="46"/>
        <v/>
      </c>
      <c r="AY253" s="22" t="str">
        <f>IFERROR(VLOOKUP((CONCATENATE(AM253,AX253)),Listados!$U$3:$V$11,2,FALSE),"")</f>
        <v/>
      </c>
      <c r="AZ253" s="111">
        <f t="shared" si="47"/>
        <v>100</v>
      </c>
      <c r="BA253" s="716">
        <f>AVERAGE(AZ253:AZ258)</f>
        <v>100</v>
      </c>
      <c r="BB253" s="718" t="str">
        <f>IF(BA253&lt;=50, "Débil", IF(BA253&lt;=99,"Moderado","Fuerte"))</f>
        <v>Fuerte</v>
      </c>
      <c r="BC253" s="142">
        <f>+IF(AND(W253="Preventivo",BB253="Fuerte"),2,IF(AND(W253="Preventivo",BB253="Moderado"),1,0))</f>
        <v>0</v>
      </c>
      <c r="BD253" s="68">
        <f>+IF(AND(W253="Detectivo/Correctivo",$BB253="Fuerte"),2,IF(AND(W253="Detectivo/Correctivo",$BB253="Moderado"),1,IF(AND(W253="Preventivo",$BB253="Fuerte"),1,0)))</f>
        <v>0</v>
      </c>
      <c r="BE253" s="142" t="e">
        <f>+N253-BC253</f>
        <v>#N/A</v>
      </c>
      <c r="BF253" s="142" t="e">
        <f>+P253-BD253</f>
        <v>#N/A</v>
      </c>
      <c r="BG253" s="712" t="e">
        <f>+VLOOKUP(MIN(BE253,BE254,BE255,BE256,BE257,BE258),Listados!$J$18:$K$24,2,TRUE)</f>
        <v>#N/A</v>
      </c>
      <c r="BH253" s="712" t="e">
        <f>+VLOOKUP(MIN(BF253,BF254,BF255,BF256,BF257,BF258),Listados!$J$27:$K$32,2,TRUE)</f>
        <v>#N/A</v>
      </c>
      <c r="BI253" s="712" t="e">
        <f>IF(AND(BG253&lt;&gt;"",BH253&lt;&gt;""),VLOOKUP(BG253&amp;BH253,Listados!$M$3:$N$27,2,FALSE),"")</f>
        <v>#N/A</v>
      </c>
      <c r="BJ253" s="802" t="e">
        <f>+IF($R253="Asumir el riesgo","NA","")</f>
        <v>#N/A</v>
      </c>
      <c r="BK253" s="802" t="e">
        <f>+IF($R253="Asumir el riesgo","NA","")</f>
        <v>#N/A</v>
      </c>
      <c r="BL253" s="802" t="e">
        <f>+IF($R253="Asumir el riesgo","NA","")</f>
        <v>#N/A</v>
      </c>
      <c r="BM253" s="802" t="e">
        <f>+IF($R253="Asumir el riesgo","NA","")</f>
        <v>#N/A</v>
      </c>
    </row>
    <row r="254" spans="1:65" ht="65.150000000000006" customHeight="1" thickBot="1">
      <c r="A254" s="724"/>
      <c r="B254" s="812"/>
      <c r="C254" s="730"/>
      <c r="D254" s="158"/>
      <c r="E254" s="158"/>
      <c r="F254" s="814"/>
      <c r="G254" s="736"/>
      <c r="H254" s="105"/>
      <c r="I254" s="161"/>
      <c r="J254" s="105"/>
      <c r="K254" s="160"/>
      <c r="L254" s="150"/>
      <c r="M254" s="727"/>
      <c r="N254" s="720"/>
      <c r="O254" s="810"/>
      <c r="P254" s="720"/>
      <c r="Q254" s="715"/>
      <c r="R254" s="713"/>
      <c r="S254" s="140"/>
      <c r="T254" s="180"/>
      <c r="U254" s="52" t="s">
        <v>467</v>
      </c>
      <c r="V254" s="145"/>
      <c r="W254" s="145"/>
      <c r="X254" s="145"/>
      <c r="Y254" s="99" t="str">
        <f t="shared" si="37"/>
        <v/>
      </c>
      <c r="Z254" s="145"/>
      <c r="AA254" s="99" t="str">
        <f t="shared" si="38"/>
        <v/>
      </c>
      <c r="AB254" s="140"/>
      <c r="AC254" s="99" t="str">
        <f t="shared" si="39"/>
        <v/>
      </c>
      <c r="AD254" s="140"/>
      <c r="AE254" s="99" t="str">
        <f t="shared" si="40"/>
        <v/>
      </c>
      <c r="AF254" s="140"/>
      <c r="AG254" s="99" t="str">
        <f t="shared" si="41"/>
        <v/>
      </c>
      <c r="AH254" s="140"/>
      <c r="AI254" s="99" t="str">
        <f t="shared" si="42"/>
        <v/>
      </c>
      <c r="AJ254" s="140"/>
      <c r="AK254" s="28" t="str">
        <f t="shared" si="43"/>
        <v/>
      </c>
      <c r="AL254" s="111" t="str">
        <f t="shared" si="44"/>
        <v/>
      </c>
      <c r="AM254" s="111" t="str">
        <f t="shared" si="45"/>
        <v/>
      </c>
      <c r="AN254" s="178"/>
      <c r="AO254" s="178"/>
      <c r="AP254" s="178"/>
      <c r="AQ254" s="178"/>
      <c r="AR254" s="178"/>
      <c r="AS254" s="178"/>
      <c r="AT254" s="178"/>
      <c r="AU254" s="179" t="str">
        <f>IFERROR(VLOOKUP(AT254,'Seguridad Información'!$I$61:$J$65,2,0),"")</f>
        <v/>
      </c>
      <c r="AV254" s="83"/>
      <c r="AW254" s="82" t="str">
        <f t="shared" si="36"/>
        <v/>
      </c>
      <c r="AX254" s="81" t="str">
        <f t="shared" si="46"/>
        <v/>
      </c>
      <c r="AY254" s="22" t="str">
        <f>IFERROR(VLOOKUP((CONCATENATE(AM254,AX254)),Listados!$U$3:$V$11,2,FALSE),"")</f>
        <v/>
      </c>
      <c r="AZ254" s="111">
        <f t="shared" si="47"/>
        <v>100</v>
      </c>
      <c r="BA254" s="717"/>
      <c r="BB254" s="761"/>
      <c r="BC254" s="142">
        <f>+IF(AND(W254="Preventivo",BB253="Fuerte"),2,IF(AND(W254="Preventivo",BB253="Moderado"),1,0))</f>
        <v>0</v>
      </c>
      <c r="BD254" s="68">
        <f>+IF(AND(W254="Detectivo/Correctivo",$BB253="Fuerte"),2,IF(AND(W254="Detectivo/Correctivo",$BB254="Moderado"),1,IF(AND(W254="Preventivo",$BB253="Fuerte"),1,0)))</f>
        <v>0</v>
      </c>
      <c r="BE254" s="142" t="e">
        <f>+N253-BC254</f>
        <v>#N/A</v>
      </c>
      <c r="BF254" s="142" t="e">
        <f>+P253-BD254</f>
        <v>#N/A</v>
      </c>
      <c r="BG254" s="713"/>
      <c r="BH254" s="713"/>
      <c r="BI254" s="713"/>
      <c r="BJ254" s="803"/>
      <c r="BK254" s="803"/>
      <c r="BL254" s="803"/>
      <c r="BM254" s="803"/>
    </row>
    <row r="255" spans="1:65" ht="65.150000000000006" customHeight="1" thickBot="1">
      <c r="A255" s="724"/>
      <c r="B255" s="812"/>
      <c r="C255" s="730"/>
      <c r="D255" s="158"/>
      <c r="E255" s="158"/>
      <c r="F255" s="814"/>
      <c r="G255" s="736"/>
      <c r="H255" s="105"/>
      <c r="I255" s="161"/>
      <c r="J255" s="105"/>
      <c r="K255" s="160"/>
      <c r="L255" s="150"/>
      <c r="M255" s="727"/>
      <c r="N255" s="720"/>
      <c r="O255" s="810"/>
      <c r="P255" s="720"/>
      <c r="Q255" s="715"/>
      <c r="R255" s="713"/>
      <c r="S255" s="140"/>
      <c r="T255" s="100"/>
      <c r="U255" s="52" t="s">
        <v>467</v>
      </c>
      <c r="V255" s="145"/>
      <c r="W255" s="145"/>
      <c r="X255" s="145"/>
      <c r="Y255" s="99" t="str">
        <f t="shared" si="37"/>
        <v/>
      </c>
      <c r="Z255" s="145"/>
      <c r="AA255" s="99" t="str">
        <f t="shared" si="38"/>
        <v/>
      </c>
      <c r="AB255" s="140"/>
      <c r="AC255" s="99" t="str">
        <f t="shared" si="39"/>
        <v/>
      </c>
      <c r="AD255" s="140"/>
      <c r="AE255" s="99" t="str">
        <f t="shared" si="40"/>
        <v/>
      </c>
      <c r="AF255" s="140"/>
      <c r="AG255" s="99" t="str">
        <f t="shared" si="41"/>
        <v/>
      </c>
      <c r="AH255" s="140"/>
      <c r="AI255" s="99" t="str">
        <f t="shared" si="42"/>
        <v/>
      </c>
      <c r="AJ255" s="140"/>
      <c r="AK255" s="28" t="str">
        <f t="shared" si="43"/>
        <v/>
      </c>
      <c r="AL255" s="111" t="str">
        <f t="shared" si="44"/>
        <v/>
      </c>
      <c r="AM255" s="111" t="str">
        <f t="shared" si="45"/>
        <v/>
      </c>
      <c r="AN255" s="178"/>
      <c r="AO255" s="178"/>
      <c r="AP255" s="178"/>
      <c r="AQ255" s="178"/>
      <c r="AR255" s="178"/>
      <c r="AS255" s="178"/>
      <c r="AT255" s="178"/>
      <c r="AU255" s="179" t="str">
        <f>IFERROR(VLOOKUP(AT255,'Seguridad Información'!$I$61:$J$65,2,0),"")</f>
        <v/>
      </c>
      <c r="AV255" s="83"/>
      <c r="AW255" s="82" t="str">
        <f t="shared" si="36"/>
        <v/>
      </c>
      <c r="AX255" s="81" t="str">
        <f t="shared" si="46"/>
        <v/>
      </c>
      <c r="AY255" s="22" t="str">
        <f>IFERROR(VLOOKUP((CONCATENATE(AM255,AX255)),Listados!$U$3:$V$11,2,FALSE),"")</f>
        <v/>
      </c>
      <c r="AZ255" s="111">
        <f t="shared" si="47"/>
        <v>100</v>
      </c>
      <c r="BA255" s="717"/>
      <c r="BB255" s="761"/>
      <c r="BC255" s="142">
        <f>+IF(AND(W255="Preventivo",BB253="Fuerte"),2,IF(AND(W255="Preventivo",BB253="Moderado"),1,0))</f>
        <v>0</v>
      </c>
      <c r="BD255" s="68">
        <f>+IF(AND(W255="Detectivo/Correctivo",$BB253="Fuerte"),2,IF(AND(W255="Detectivo/Correctivo",$BB255="Moderado"),1,IF(AND(W255="Preventivo",$BB253="Fuerte"),1,0)))</f>
        <v>0</v>
      </c>
      <c r="BE255" s="142" t="e">
        <f>+N253-BC255</f>
        <v>#N/A</v>
      </c>
      <c r="BF255" s="142" t="e">
        <f>+P253-BD255</f>
        <v>#N/A</v>
      </c>
      <c r="BG255" s="713"/>
      <c r="BH255" s="713"/>
      <c r="BI255" s="713"/>
      <c r="BJ255" s="803"/>
      <c r="BK255" s="803"/>
      <c r="BL255" s="803"/>
      <c r="BM255" s="803"/>
    </row>
    <row r="256" spans="1:65" ht="65.150000000000006" customHeight="1" thickBot="1">
      <c r="A256" s="724"/>
      <c r="B256" s="812"/>
      <c r="C256" s="730"/>
      <c r="D256" s="158"/>
      <c r="E256" s="158"/>
      <c r="F256" s="814"/>
      <c r="G256" s="736"/>
      <c r="H256" s="105"/>
      <c r="I256" s="161"/>
      <c r="J256" s="105"/>
      <c r="K256" s="160"/>
      <c r="L256" s="150"/>
      <c r="M256" s="727"/>
      <c r="N256" s="720"/>
      <c r="O256" s="810"/>
      <c r="P256" s="720"/>
      <c r="Q256" s="715"/>
      <c r="R256" s="713"/>
      <c r="S256" s="140"/>
      <c r="T256" s="101"/>
      <c r="U256" s="52" t="s">
        <v>467</v>
      </c>
      <c r="V256" s="145"/>
      <c r="W256" s="145"/>
      <c r="X256" s="145"/>
      <c r="Y256" s="99" t="str">
        <f t="shared" si="37"/>
        <v/>
      </c>
      <c r="Z256" s="145"/>
      <c r="AA256" s="99" t="str">
        <f t="shared" si="38"/>
        <v/>
      </c>
      <c r="AB256" s="140"/>
      <c r="AC256" s="99" t="str">
        <f t="shared" si="39"/>
        <v/>
      </c>
      <c r="AD256" s="140"/>
      <c r="AE256" s="99" t="str">
        <f t="shared" si="40"/>
        <v/>
      </c>
      <c r="AF256" s="140"/>
      <c r="AG256" s="99" t="str">
        <f t="shared" si="41"/>
        <v/>
      </c>
      <c r="AH256" s="140"/>
      <c r="AI256" s="99" t="str">
        <f t="shared" si="42"/>
        <v/>
      </c>
      <c r="AJ256" s="140"/>
      <c r="AK256" s="28" t="str">
        <f t="shared" si="43"/>
        <v/>
      </c>
      <c r="AL256" s="111" t="str">
        <f t="shared" si="44"/>
        <v/>
      </c>
      <c r="AM256" s="111" t="str">
        <f t="shared" si="45"/>
        <v/>
      </c>
      <c r="AN256" s="178"/>
      <c r="AO256" s="178"/>
      <c r="AP256" s="178"/>
      <c r="AQ256" s="178"/>
      <c r="AR256" s="178"/>
      <c r="AS256" s="178"/>
      <c r="AT256" s="178"/>
      <c r="AU256" s="179" t="str">
        <f>IFERROR(VLOOKUP(AT256,'Seguridad Información'!$I$61:$J$65,2,0),"")</f>
        <v/>
      </c>
      <c r="AV256" s="83"/>
      <c r="AW256" s="82" t="str">
        <f t="shared" si="36"/>
        <v/>
      </c>
      <c r="AX256" s="81" t="str">
        <f t="shared" si="46"/>
        <v/>
      </c>
      <c r="AY256" s="22" t="str">
        <f>IFERROR(VLOOKUP((CONCATENATE(AM256,AX256)),Listados!$U$3:$V$11,2,FALSE),"")</f>
        <v/>
      </c>
      <c r="AZ256" s="111">
        <f t="shared" si="47"/>
        <v>100</v>
      </c>
      <c r="BA256" s="717"/>
      <c r="BB256" s="761"/>
      <c r="BC256" s="142">
        <f>+IF(AND(W256="Preventivo",BB253="Fuerte"),2,IF(AND(W256="Preventivo",BB253="Moderado"),1,0))</f>
        <v>0</v>
      </c>
      <c r="BD256" s="68">
        <f>+IF(AND(W256="Detectivo/Correctivo",$BB253="Fuerte"),2,IF(AND(W256="Detectivo/Correctivo",$BB256="Moderado"),1,IF(AND(W256="Preventivo",$BB253="Fuerte"),1,0)))</f>
        <v>0</v>
      </c>
      <c r="BE256" s="142" t="e">
        <f>+N253-BC256</f>
        <v>#N/A</v>
      </c>
      <c r="BF256" s="142" t="e">
        <f>+P253-BD256</f>
        <v>#N/A</v>
      </c>
      <c r="BG256" s="713"/>
      <c r="BH256" s="713"/>
      <c r="BI256" s="713"/>
      <c r="BJ256" s="803"/>
      <c r="BK256" s="803"/>
      <c r="BL256" s="803"/>
      <c r="BM256" s="803"/>
    </row>
    <row r="257" spans="1:65" ht="65.150000000000006" customHeight="1" thickBot="1">
      <c r="A257" s="724"/>
      <c r="B257" s="812"/>
      <c r="C257" s="730"/>
      <c r="D257" s="116"/>
      <c r="E257" s="116"/>
      <c r="F257" s="814"/>
      <c r="G257" s="736"/>
      <c r="H257" s="105"/>
      <c r="I257" s="161"/>
      <c r="J257" s="105"/>
      <c r="K257" s="29"/>
      <c r="L257" s="150"/>
      <c r="M257" s="727"/>
      <c r="N257" s="720"/>
      <c r="O257" s="810"/>
      <c r="P257" s="720"/>
      <c r="Q257" s="715"/>
      <c r="R257" s="713"/>
      <c r="S257" s="140"/>
      <c r="T257" s="180"/>
      <c r="U257" s="52" t="s">
        <v>467</v>
      </c>
      <c r="V257" s="145"/>
      <c r="W257" s="145"/>
      <c r="X257" s="145"/>
      <c r="Y257" s="99" t="str">
        <f t="shared" si="37"/>
        <v/>
      </c>
      <c r="Z257" s="145"/>
      <c r="AA257" s="99" t="str">
        <f t="shared" si="38"/>
        <v/>
      </c>
      <c r="AB257" s="140"/>
      <c r="AC257" s="99" t="str">
        <f t="shared" si="39"/>
        <v/>
      </c>
      <c r="AD257" s="140"/>
      <c r="AE257" s="99" t="str">
        <f t="shared" si="40"/>
        <v/>
      </c>
      <c r="AF257" s="140"/>
      <c r="AG257" s="99" t="str">
        <f t="shared" si="41"/>
        <v/>
      </c>
      <c r="AH257" s="140"/>
      <c r="AI257" s="99" t="str">
        <f t="shared" si="42"/>
        <v/>
      </c>
      <c r="AJ257" s="140"/>
      <c r="AK257" s="28" t="str">
        <f t="shared" si="43"/>
        <v/>
      </c>
      <c r="AL257" s="111" t="str">
        <f t="shared" si="44"/>
        <v/>
      </c>
      <c r="AM257" s="111" t="str">
        <f t="shared" si="45"/>
        <v/>
      </c>
      <c r="AN257" s="178"/>
      <c r="AO257" s="178"/>
      <c r="AP257" s="178"/>
      <c r="AQ257" s="178"/>
      <c r="AR257" s="178"/>
      <c r="AS257" s="178"/>
      <c r="AT257" s="178"/>
      <c r="AU257" s="179" t="str">
        <f>IFERROR(VLOOKUP(AT257,'Seguridad Información'!$I$61:$J$65,2,0),"")</f>
        <v/>
      </c>
      <c r="AV257" s="83"/>
      <c r="AW257" s="82" t="str">
        <f t="shared" si="36"/>
        <v/>
      </c>
      <c r="AX257" s="81" t="str">
        <f t="shared" si="46"/>
        <v/>
      </c>
      <c r="AY257" s="22" t="str">
        <f>IFERROR(VLOOKUP((CONCATENATE(AM257,AX257)),Listados!$U$3:$V$11,2,FALSE),"")</f>
        <v/>
      </c>
      <c r="AZ257" s="111">
        <f t="shared" si="47"/>
        <v>100</v>
      </c>
      <c r="BA257" s="717"/>
      <c r="BB257" s="761"/>
      <c r="BC257" s="142">
        <f>+IF(AND(W257="Preventivo",BB253="Fuerte"),2,IF(AND(W257="Preventivo",BB253="Moderado"),1,0))</f>
        <v>0</v>
      </c>
      <c r="BD257" s="68">
        <f>+IF(AND(W257="Detectivo/Correctivo",$BB253="Fuerte"),2,IF(AND(W257="Detectivo/Correctivo",$BB257="Moderado"),1,IF(AND(W257="Preventivo",$BB253="Fuerte"),1,0)))</f>
        <v>0</v>
      </c>
      <c r="BE257" s="142" t="e">
        <f>+N253-BC257</f>
        <v>#N/A</v>
      </c>
      <c r="BF257" s="142" t="e">
        <f>+P253-BD257</f>
        <v>#N/A</v>
      </c>
      <c r="BG257" s="713"/>
      <c r="BH257" s="713"/>
      <c r="BI257" s="713"/>
      <c r="BJ257" s="803"/>
      <c r="BK257" s="803"/>
      <c r="BL257" s="803"/>
      <c r="BM257" s="803"/>
    </row>
    <row r="258" spans="1:65" ht="65.150000000000006" customHeight="1" thickBot="1">
      <c r="A258" s="725"/>
      <c r="B258" s="812"/>
      <c r="C258" s="731"/>
      <c r="D258" s="113"/>
      <c r="E258" s="113"/>
      <c r="F258" s="815"/>
      <c r="G258" s="781"/>
      <c r="H258" s="105"/>
      <c r="I258" s="161"/>
      <c r="J258" s="105"/>
      <c r="K258" s="30"/>
      <c r="L258" s="150"/>
      <c r="M258" s="727"/>
      <c r="N258" s="721"/>
      <c r="O258" s="810"/>
      <c r="P258" s="721"/>
      <c r="Q258" s="715"/>
      <c r="R258" s="714"/>
      <c r="S258" s="140"/>
      <c r="T258" s="102"/>
      <c r="U258" s="52" t="s">
        <v>467</v>
      </c>
      <c r="V258" s="145"/>
      <c r="W258" s="145"/>
      <c r="X258" s="145"/>
      <c r="Y258" s="99" t="str">
        <f t="shared" si="37"/>
        <v/>
      </c>
      <c r="Z258" s="145"/>
      <c r="AA258" s="99" t="str">
        <f t="shared" si="38"/>
        <v/>
      </c>
      <c r="AB258" s="140"/>
      <c r="AC258" s="99" t="str">
        <f t="shared" si="39"/>
        <v/>
      </c>
      <c r="AD258" s="140"/>
      <c r="AE258" s="99" t="str">
        <f t="shared" si="40"/>
        <v/>
      </c>
      <c r="AF258" s="140"/>
      <c r="AG258" s="99" t="str">
        <f t="shared" si="41"/>
        <v/>
      </c>
      <c r="AH258" s="140"/>
      <c r="AI258" s="99" t="str">
        <f t="shared" si="42"/>
        <v/>
      </c>
      <c r="AJ258" s="140"/>
      <c r="AK258" s="28" t="str">
        <f t="shared" si="43"/>
        <v/>
      </c>
      <c r="AL258" s="111" t="str">
        <f t="shared" si="44"/>
        <v/>
      </c>
      <c r="AM258" s="111" t="str">
        <f t="shared" si="45"/>
        <v/>
      </c>
      <c r="AN258" s="178"/>
      <c r="AO258" s="178"/>
      <c r="AP258" s="178"/>
      <c r="AQ258" s="178"/>
      <c r="AR258" s="178"/>
      <c r="AS258" s="178"/>
      <c r="AT258" s="178"/>
      <c r="AU258" s="179" t="str">
        <f>IFERROR(VLOOKUP(AT258,'Seguridad Información'!$I$61:$J$65,2,0),"")</f>
        <v/>
      </c>
      <c r="AV258" s="83"/>
      <c r="AW258" s="82" t="str">
        <f t="shared" si="36"/>
        <v/>
      </c>
      <c r="AX258" s="81" t="str">
        <f t="shared" si="46"/>
        <v/>
      </c>
      <c r="AY258" s="22" t="str">
        <f>IFERROR(VLOOKUP((CONCATENATE(AM258,AX258)),Listados!$U$3:$V$11,2,FALSE),"")</f>
        <v/>
      </c>
      <c r="AZ258" s="111">
        <f t="shared" si="47"/>
        <v>100</v>
      </c>
      <c r="BA258" s="718"/>
      <c r="BB258" s="761"/>
      <c r="BC258" s="142">
        <f>+IF(AND(W258="Preventivo",BB253="Fuerte"),2,IF(AND(W258="Preventivo",BB253="Moderado"),1,0))</f>
        <v>0</v>
      </c>
      <c r="BD258" s="68">
        <f>+IF(AND(W258="Detectivo/Correctivo",$BB253="Fuerte"),2,IF(AND(W258="Detectivo/Correctivo",$BB258="Moderado"),1,IF(AND(W258="Preventivo",$BB253="Fuerte"),1,0)))</f>
        <v>0</v>
      </c>
      <c r="BE258" s="142" t="e">
        <f>+N253-BC258</f>
        <v>#N/A</v>
      </c>
      <c r="BF258" s="142" t="e">
        <f>+P253-BD258</f>
        <v>#N/A</v>
      </c>
      <c r="BG258" s="714"/>
      <c r="BH258" s="714"/>
      <c r="BI258" s="714"/>
      <c r="BJ258" s="804"/>
      <c r="BK258" s="804"/>
      <c r="BL258" s="804"/>
      <c r="BM258" s="804"/>
    </row>
    <row r="259" spans="1:65" ht="65.150000000000006" customHeight="1" thickBot="1">
      <c r="A259" s="723">
        <v>43</v>
      </c>
      <c r="B259" s="811"/>
      <c r="C259" s="729" t="str">
        <f>IFERROR(VLOOKUP(B259,Listados!B$3:C$20,2,FALSE),"")</f>
        <v/>
      </c>
      <c r="D259" s="114"/>
      <c r="E259" s="114"/>
      <c r="F259" s="813"/>
      <c r="G259" s="735"/>
      <c r="H259" s="105"/>
      <c r="I259" s="161"/>
      <c r="J259" s="105"/>
      <c r="K259" s="109"/>
      <c r="L259" s="18"/>
      <c r="M259" s="762"/>
      <c r="N259" s="719" t="e">
        <f>+VLOOKUP(M259,Listados!$K$8:$L$12,2,0)</f>
        <v>#N/A</v>
      </c>
      <c r="O259" s="809"/>
      <c r="P259" s="719" t="e">
        <f>+VLOOKUP(O259,Listados!$K$13:$L$17,2,0)</f>
        <v>#N/A</v>
      </c>
      <c r="Q259" s="714" t="str">
        <f>IF(AND(M259&lt;&gt;"",O259&lt;&gt;""),VLOOKUP(M259&amp;O259,Listados!$M$3:$N$27,2,FALSE),"")</f>
        <v/>
      </c>
      <c r="R259" s="712" t="e">
        <f>+VLOOKUP(Q259,Listados!$P$3:$Q$6,2,FALSE)</f>
        <v>#N/A</v>
      </c>
      <c r="S259" s="140"/>
      <c r="T259" s="98"/>
      <c r="U259" s="52" t="s">
        <v>467</v>
      </c>
      <c r="V259" s="145"/>
      <c r="W259" s="145"/>
      <c r="X259" s="145"/>
      <c r="Y259" s="99" t="str">
        <f t="shared" si="37"/>
        <v/>
      </c>
      <c r="Z259" s="145"/>
      <c r="AA259" s="99" t="str">
        <f t="shared" si="38"/>
        <v/>
      </c>
      <c r="AB259" s="140"/>
      <c r="AC259" s="99" t="str">
        <f t="shared" si="39"/>
        <v/>
      </c>
      <c r="AD259" s="140"/>
      <c r="AE259" s="99" t="str">
        <f t="shared" si="40"/>
        <v/>
      </c>
      <c r="AF259" s="140"/>
      <c r="AG259" s="99" t="str">
        <f t="shared" si="41"/>
        <v/>
      </c>
      <c r="AH259" s="140"/>
      <c r="AI259" s="99" t="str">
        <f t="shared" si="42"/>
        <v/>
      </c>
      <c r="AJ259" s="140"/>
      <c r="AK259" s="28" t="str">
        <f t="shared" si="43"/>
        <v/>
      </c>
      <c r="AL259" s="111" t="str">
        <f t="shared" si="44"/>
        <v/>
      </c>
      <c r="AM259" s="111" t="str">
        <f t="shared" si="45"/>
        <v/>
      </c>
      <c r="AN259" s="178"/>
      <c r="AO259" s="178"/>
      <c r="AP259" s="178"/>
      <c r="AQ259" s="178"/>
      <c r="AR259" s="178"/>
      <c r="AS259" s="178"/>
      <c r="AT259" s="178"/>
      <c r="AU259" s="179" t="str">
        <f>IFERROR(VLOOKUP(AT259,'Seguridad Información'!$I$61:$J$65,2,0),"")</f>
        <v/>
      </c>
      <c r="AV259" s="83"/>
      <c r="AW259" s="82" t="str">
        <f t="shared" si="36"/>
        <v/>
      </c>
      <c r="AX259" s="81" t="str">
        <f t="shared" si="46"/>
        <v/>
      </c>
      <c r="AY259" s="22" t="str">
        <f>IFERROR(VLOOKUP((CONCATENATE(AM259,AX259)),Listados!$U$3:$V$11,2,FALSE),"")</f>
        <v/>
      </c>
      <c r="AZ259" s="111">
        <f t="shared" si="47"/>
        <v>100</v>
      </c>
      <c r="BA259" s="716">
        <f>AVERAGE(AZ259:AZ264)</f>
        <v>100</v>
      </c>
      <c r="BB259" s="718" t="str">
        <f>IF(BA259&lt;=50, "Débil", IF(BA259&lt;=99,"Moderado","Fuerte"))</f>
        <v>Fuerte</v>
      </c>
      <c r="BC259" s="142">
        <f>+IF(AND(W259="Preventivo",BB259="Fuerte"),2,IF(AND(W259="Preventivo",BB259="Moderado"),1,0))</f>
        <v>0</v>
      </c>
      <c r="BD259" s="68">
        <f>+IF(AND(W259="Detectivo/Correctivo",$BB259="Fuerte"),2,IF(AND(W259="Detectivo/Correctivo",$BB259="Moderado"),1,IF(AND(W259="Preventivo",$BB259="Fuerte"),1,0)))</f>
        <v>0</v>
      </c>
      <c r="BE259" s="142" t="e">
        <f>+N259-BC259</f>
        <v>#N/A</v>
      </c>
      <c r="BF259" s="142" t="e">
        <f>+P259-BD259</f>
        <v>#N/A</v>
      </c>
      <c r="BG259" s="712" t="e">
        <f>+VLOOKUP(MIN(BE259,BE260,BE261,BE262,BE263,BE264),Listados!$J$18:$K$24,2,TRUE)</f>
        <v>#N/A</v>
      </c>
      <c r="BH259" s="712" t="e">
        <f>+VLOOKUP(MIN(BF259,BF260,BF261,BF262,BF263,BF264),Listados!$J$27:$K$32,2,TRUE)</f>
        <v>#N/A</v>
      </c>
      <c r="BI259" s="712" t="e">
        <f>IF(AND(BG259&lt;&gt;"",BH259&lt;&gt;""),VLOOKUP(BG259&amp;BH259,Listados!$M$3:$N$27,2,FALSE),"")</f>
        <v>#N/A</v>
      </c>
      <c r="BJ259" s="802" t="e">
        <f>+IF($R259="Asumir el riesgo","NA","")</f>
        <v>#N/A</v>
      </c>
      <c r="BK259" s="802" t="e">
        <f>+IF($R259="Asumir el riesgo","NA","")</f>
        <v>#N/A</v>
      </c>
      <c r="BL259" s="802" t="e">
        <f>+IF($R259="Asumir el riesgo","NA","")</f>
        <v>#N/A</v>
      </c>
      <c r="BM259" s="802" t="e">
        <f>+IF($R259="Asumir el riesgo","NA","")</f>
        <v>#N/A</v>
      </c>
    </row>
    <row r="260" spans="1:65" ht="65.150000000000006" customHeight="1" thickBot="1">
      <c r="A260" s="724"/>
      <c r="B260" s="812"/>
      <c r="C260" s="730"/>
      <c r="D260" s="158"/>
      <c r="E260" s="158"/>
      <c r="F260" s="814"/>
      <c r="G260" s="736"/>
      <c r="H260" s="105"/>
      <c r="I260" s="161"/>
      <c r="J260" s="105"/>
      <c r="K260" s="160"/>
      <c r="L260" s="150"/>
      <c r="M260" s="727"/>
      <c r="N260" s="720"/>
      <c r="O260" s="810"/>
      <c r="P260" s="720"/>
      <c r="Q260" s="715"/>
      <c r="R260" s="713"/>
      <c r="S260" s="140"/>
      <c r="T260" s="180"/>
      <c r="U260" s="52" t="s">
        <v>467</v>
      </c>
      <c r="V260" s="145"/>
      <c r="W260" s="145"/>
      <c r="X260" s="145"/>
      <c r="Y260" s="99" t="str">
        <f t="shared" si="37"/>
        <v/>
      </c>
      <c r="Z260" s="145"/>
      <c r="AA260" s="99" t="str">
        <f t="shared" si="38"/>
        <v/>
      </c>
      <c r="AB260" s="140"/>
      <c r="AC260" s="99" t="str">
        <f t="shared" si="39"/>
        <v/>
      </c>
      <c r="AD260" s="140"/>
      <c r="AE260" s="99" t="str">
        <f t="shared" si="40"/>
        <v/>
      </c>
      <c r="AF260" s="140"/>
      <c r="AG260" s="99" t="str">
        <f t="shared" si="41"/>
        <v/>
      </c>
      <c r="AH260" s="140"/>
      <c r="AI260" s="99" t="str">
        <f t="shared" si="42"/>
        <v/>
      </c>
      <c r="AJ260" s="140"/>
      <c r="AK260" s="28" t="str">
        <f t="shared" si="43"/>
        <v/>
      </c>
      <c r="AL260" s="111" t="str">
        <f t="shared" si="44"/>
        <v/>
      </c>
      <c r="AM260" s="111" t="str">
        <f t="shared" si="45"/>
        <v/>
      </c>
      <c r="AN260" s="178"/>
      <c r="AO260" s="178"/>
      <c r="AP260" s="178"/>
      <c r="AQ260" s="178"/>
      <c r="AR260" s="178"/>
      <c r="AS260" s="178"/>
      <c r="AT260" s="178"/>
      <c r="AU260" s="179" t="str">
        <f>IFERROR(VLOOKUP(AT260,'Seguridad Información'!$I$61:$J$65,2,0),"")</f>
        <v/>
      </c>
      <c r="AV260" s="83"/>
      <c r="AW260" s="82" t="str">
        <f t="shared" si="36"/>
        <v/>
      </c>
      <c r="AX260" s="81" t="str">
        <f t="shared" si="46"/>
        <v/>
      </c>
      <c r="AY260" s="22" t="str">
        <f>IFERROR(VLOOKUP((CONCATENATE(AM260,AX260)),Listados!$U$3:$V$11,2,FALSE),"")</f>
        <v/>
      </c>
      <c r="AZ260" s="111">
        <f t="shared" si="47"/>
        <v>100</v>
      </c>
      <c r="BA260" s="717"/>
      <c r="BB260" s="761"/>
      <c r="BC260" s="142">
        <f>+IF(AND(W260="Preventivo",BB259="Fuerte"),2,IF(AND(W260="Preventivo",BB259="Moderado"),1,0))</f>
        <v>0</v>
      </c>
      <c r="BD260" s="68">
        <f>+IF(AND(W260="Detectivo/Correctivo",$BB259="Fuerte"),2,IF(AND(W260="Detectivo/Correctivo",$BB260="Moderado"),1,IF(AND(W260="Preventivo",$BB259="Fuerte"),1,0)))</f>
        <v>0</v>
      </c>
      <c r="BE260" s="142" t="e">
        <f>+N259-BC260</f>
        <v>#N/A</v>
      </c>
      <c r="BF260" s="142" t="e">
        <f>+P259-BD260</f>
        <v>#N/A</v>
      </c>
      <c r="BG260" s="713"/>
      <c r="BH260" s="713"/>
      <c r="BI260" s="713"/>
      <c r="BJ260" s="803"/>
      <c r="BK260" s="803"/>
      <c r="BL260" s="803"/>
      <c r="BM260" s="803"/>
    </row>
    <row r="261" spans="1:65" ht="65.150000000000006" customHeight="1" thickBot="1">
      <c r="A261" s="724"/>
      <c r="B261" s="812"/>
      <c r="C261" s="730"/>
      <c r="D261" s="158"/>
      <c r="E261" s="158"/>
      <c r="F261" s="814"/>
      <c r="G261" s="736"/>
      <c r="H261" s="105"/>
      <c r="I261" s="161"/>
      <c r="J261" s="105"/>
      <c r="K261" s="160"/>
      <c r="L261" s="150"/>
      <c r="M261" s="727"/>
      <c r="N261" s="720"/>
      <c r="O261" s="810"/>
      <c r="P261" s="720"/>
      <c r="Q261" s="715"/>
      <c r="R261" s="713"/>
      <c r="S261" s="140"/>
      <c r="T261" s="100"/>
      <c r="U261" s="52" t="s">
        <v>467</v>
      </c>
      <c r="V261" s="145"/>
      <c r="W261" s="145"/>
      <c r="X261" s="145"/>
      <c r="Y261" s="99" t="str">
        <f t="shared" si="37"/>
        <v/>
      </c>
      <c r="Z261" s="145"/>
      <c r="AA261" s="99" t="str">
        <f t="shared" si="38"/>
        <v/>
      </c>
      <c r="AB261" s="140"/>
      <c r="AC261" s="99" t="str">
        <f t="shared" si="39"/>
        <v/>
      </c>
      <c r="AD261" s="140"/>
      <c r="AE261" s="99" t="str">
        <f t="shared" si="40"/>
        <v/>
      </c>
      <c r="AF261" s="140"/>
      <c r="AG261" s="99" t="str">
        <f t="shared" si="41"/>
        <v/>
      </c>
      <c r="AH261" s="140"/>
      <c r="AI261" s="99" t="str">
        <f t="shared" si="42"/>
        <v/>
      </c>
      <c r="AJ261" s="140"/>
      <c r="AK261" s="28" t="str">
        <f t="shared" si="43"/>
        <v/>
      </c>
      <c r="AL261" s="111" t="str">
        <f t="shared" si="44"/>
        <v/>
      </c>
      <c r="AM261" s="111" t="str">
        <f t="shared" si="45"/>
        <v/>
      </c>
      <c r="AN261" s="178"/>
      <c r="AO261" s="178"/>
      <c r="AP261" s="178"/>
      <c r="AQ261" s="178"/>
      <c r="AR261" s="178"/>
      <c r="AS261" s="178"/>
      <c r="AT261" s="178"/>
      <c r="AU261" s="179" t="str">
        <f>IFERROR(VLOOKUP(AT261,'Seguridad Información'!$I$61:$J$65,2,0),"")</f>
        <v/>
      </c>
      <c r="AV261" s="83"/>
      <c r="AW261" s="82" t="str">
        <f t="shared" si="36"/>
        <v/>
      </c>
      <c r="AX261" s="81" t="str">
        <f t="shared" si="46"/>
        <v/>
      </c>
      <c r="AY261" s="22" t="str">
        <f>IFERROR(VLOOKUP((CONCATENATE(AM261,AX261)),Listados!$U$3:$V$11,2,FALSE),"")</f>
        <v/>
      </c>
      <c r="AZ261" s="111">
        <f t="shared" si="47"/>
        <v>100</v>
      </c>
      <c r="BA261" s="717"/>
      <c r="BB261" s="761"/>
      <c r="BC261" s="142">
        <f>+IF(AND(W261="Preventivo",BB259="Fuerte"),2,IF(AND(W261="Preventivo",BB259="Moderado"),1,0))</f>
        <v>0</v>
      </c>
      <c r="BD261" s="68">
        <f>+IF(AND(W261="Detectivo/Correctivo",$BB259="Fuerte"),2,IF(AND(W261="Detectivo/Correctivo",$BB261="Moderado"),1,IF(AND(W261="Preventivo",$BB259="Fuerte"),1,0)))</f>
        <v>0</v>
      </c>
      <c r="BE261" s="142" t="e">
        <f>+N259-BC261</f>
        <v>#N/A</v>
      </c>
      <c r="BF261" s="142" t="e">
        <f>+P259-BD261</f>
        <v>#N/A</v>
      </c>
      <c r="BG261" s="713"/>
      <c r="BH261" s="713"/>
      <c r="BI261" s="713"/>
      <c r="BJ261" s="803"/>
      <c r="BK261" s="803"/>
      <c r="BL261" s="803"/>
      <c r="BM261" s="803"/>
    </row>
    <row r="262" spans="1:65" ht="65.150000000000006" customHeight="1" thickBot="1">
      <c r="A262" s="724"/>
      <c r="B262" s="812"/>
      <c r="C262" s="730"/>
      <c r="D262" s="158"/>
      <c r="E262" s="158"/>
      <c r="F262" s="814"/>
      <c r="G262" s="736"/>
      <c r="H262" s="105"/>
      <c r="I262" s="161"/>
      <c r="J262" s="105"/>
      <c r="K262" s="160"/>
      <c r="L262" s="150"/>
      <c r="M262" s="727"/>
      <c r="N262" s="720"/>
      <c r="O262" s="810"/>
      <c r="P262" s="720"/>
      <c r="Q262" s="715"/>
      <c r="R262" s="713"/>
      <c r="S262" s="140"/>
      <c r="T262" s="101"/>
      <c r="U262" s="52" t="s">
        <v>467</v>
      </c>
      <c r="V262" s="145"/>
      <c r="W262" s="145"/>
      <c r="X262" s="145"/>
      <c r="Y262" s="99" t="str">
        <f t="shared" si="37"/>
        <v/>
      </c>
      <c r="Z262" s="145"/>
      <c r="AA262" s="99" t="str">
        <f t="shared" si="38"/>
        <v/>
      </c>
      <c r="AB262" s="140"/>
      <c r="AC262" s="99" t="str">
        <f t="shared" si="39"/>
        <v/>
      </c>
      <c r="AD262" s="140"/>
      <c r="AE262" s="99" t="str">
        <f t="shared" si="40"/>
        <v/>
      </c>
      <c r="AF262" s="140"/>
      <c r="AG262" s="99" t="str">
        <f t="shared" si="41"/>
        <v/>
      </c>
      <c r="AH262" s="140"/>
      <c r="AI262" s="99" t="str">
        <f t="shared" si="42"/>
        <v/>
      </c>
      <c r="AJ262" s="140"/>
      <c r="AK262" s="28" t="str">
        <f t="shared" si="43"/>
        <v/>
      </c>
      <c r="AL262" s="111" t="str">
        <f t="shared" si="44"/>
        <v/>
      </c>
      <c r="AM262" s="111" t="str">
        <f t="shared" si="45"/>
        <v/>
      </c>
      <c r="AN262" s="178"/>
      <c r="AO262" s="178"/>
      <c r="AP262" s="178"/>
      <c r="AQ262" s="178"/>
      <c r="AR262" s="178"/>
      <c r="AS262" s="178"/>
      <c r="AT262" s="178"/>
      <c r="AU262" s="179" t="str">
        <f>IFERROR(VLOOKUP(AT262,'Seguridad Información'!$I$61:$J$65,2,0),"")</f>
        <v/>
      </c>
      <c r="AV262" s="83"/>
      <c r="AW262" s="82" t="str">
        <f t="shared" si="36"/>
        <v/>
      </c>
      <c r="AX262" s="81" t="str">
        <f t="shared" si="46"/>
        <v/>
      </c>
      <c r="AY262" s="22" t="str">
        <f>IFERROR(VLOOKUP((CONCATENATE(AM262,AX262)),Listados!$U$3:$V$11,2,FALSE),"")</f>
        <v/>
      </c>
      <c r="AZ262" s="111">
        <f t="shared" si="47"/>
        <v>100</v>
      </c>
      <c r="BA262" s="717"/>
      <c r="BB262" s="761"/>
      <c r="BC262" s="142">
        <f>+IF(AND(W262="Preventivo",BB259="Fuerte"),2,IF(AND(W262="Preventivo",BB259="Moderado"),1,0))</f>
        <v>0</v>
      </c>
      <c r="BD262" s="68">
        <f>+IF(AND(W262="Detectivo/Correctivo",$BB259="Fuerte"),2,IF(AND(W262="Detectivo/Correctivo",$BB262="Moderado"),1,IF(AND(W262="Preventivo",$BB259="Fuerte"),1,0)))</f>
        <v>0</v>
      </c>
      <c r="BE262" s="142" t="e">
        <f>+N259-BC262</f>
        <v>#N/A</v>
      </c>
      <c r="BF262" s="142" t="e">
        <f>+P259-BD262</f>
        <v>#N/A</v>
      </c>
      <c r="BG262" s="713"/>
      <c r="BH262" s="713"/>
      <c r="BI262" s="713"/>
      <c r="BJ262" s="803"/>
      <c r="BK262" s="803"/>
      <c r="BL262" s="803"/>
      <c r="BM262" s="803"/>
    </row>
    <row r="263" spans="1:65" ht="65.150000000000006" customHeight="1" thickBot="1">
      <c r="A263" s="724"/>
      <c r="B263" s="812"/>
      <c r="C263" s="730"/>
      <c r="D263" s="116"/>
      <c r="E263" s="116"/>
      <c r="F263" s="814"/>
      <c r="G263" s="736"/>
      <c r="H263" s="105"/>
      <c r="I263" s="161"/>
      <c r="J263" s="105"/>
      <c r="K263" s="29"/>
      <c r="L263" s="150"/>
      <c r="M263" s="727"/>
      <c r="N263" s="720"/>
      <c r="O263" s="810"/>
      <c r="P263" s="720"/>
      <c r="Q263" s="715"/>
      <c r="R263" s="713"/>
      <c r="S263" s="140"/>
      <c r="T263" s="180"/>
      <c r="U263" s="52" t="s">
        <v>467</v>
      </c>
      <c r="V263" s="145"/>
      <c r="W263" s="145"/>
      <c r="X263" s="145"/>
      <c r="Y263" s="99" t="str">
        <f t="shared" si="37"/>
        <v/>
      </c>
      <c r="Z263" s="145"/>
      <c r="AA263" s="99" t="str">
        <f t="shared" si="38"/>
        <v/>
      </c>
      <c r="AB263" s="140"/>
      <c r="AC263" s="99" t="str">
        <f t="shared" si="39"/>
        <v/>
      </c>
      <c r="AD263" s="140"/>
      <c r="AE263" s="99" t="str">
        <f t="shared" si="40"/>
        <v/>
      </c>
      <c r="AF263" s="140"/>
      <c r="AG263" s="99" t="str">
        <f t="shared" si="41"/>
        <v/>
      </c>
      <c r="AH263" s="140"/>
      <c r="AI263" s="99" t="str">
        <f t="shared" si="42"/>
        <v/>
      </c>
      <c r="AJ263" s="140"/>
      <c r="AK263" s="28" t="str">
        <f t="shared" si="43"/>
        <v/>
      </c>
      <c r="AL263" s="111" t="str">
        <f t="shared" si="44"/>
        <v/>
      </c>
      <c r="AM263" s="111" t="str">
        <f t="shared" si="45"/>
        <v/>
      </c>
      <c r="AN263" s="178"/>
      <c r="AO263" s="178"/>
      <c r="AP263" s="178"/>
      <c r="AQ263" s="178"/>
      <c r="AR263" s="178"/>
      <c r="AS263" s="178"/>
      <c r="AT263" s="178"/>
      <c r="AU263" s="179" t="str">
        <f>IFERROR(VLOOKUP(AT263,'Seguridad Información'!$I$61:$J$65,2,0),"")</f>
        <v/>
      </c>
      <c r="AV263" s="83"/>
      <c r="AW263" s="82" t="str">
        <f t="shared" ref="AW263:AW326" si="48">IFERROR(AVERAGE(AO263,AQ263,AS263,AU263),"")</f>
        <v/>
      </c>
      <c r="AX263" s="81" t="str">
        <f t="shared" si="46"/>
        <v/>
      </c>
      <c r="AY263" s="22" t="str">
        <f>IFERROR(VLOOKUP((CONCATENATE(AM263,AX263)),Listados!$U$3:$V$11,2,FALSE),"")</f>
        <v/>
      </c>
      <c r="AZ263" s="111">
        <f t="shared" si="47"/>
        <v>100</v>
      </c>
      <c r="BA263" s="717"/>
      <c r="BB263" s="761"/>
      <c r="BC263" s="142">
        <f>+IF(AND(W263="Preventivo",BB259="Fuerte"),2,IF(AND(W263="Preventivo",BB259="Moderado"),1,0))</f>
        <v>0</v>
      </c>
      <c r="BD263" s="68">
        <f>+IF(AND(W263="Detectivo/Correctivo",$BB259="Fuerte"),2,IF(AND(W263="Detectivo/Correctivo",$BB263="Moderado"),1,IF(AND(W263="Preventivo",$BB259="Fuerte"),1,0)))</f>
        <v>0</v>
      </c>
      <c r="BE263" s="142" t="e">
        <f>+N259-BC263</f>
        <v>#N/A</v>
      </c>
      <c r="BF263" s="142" t="e">
        <f>+P259-BD263</f>
        <v>#N/A</v>
      </c>
      <c r="BG263" s="713"/>
      <c r="BH263" s="713"/>
      <c r="BI263" s="713"/>
      <c r="BJ263" s="803"/>
      <c r="BK263" s="803"/>
      <c r="BL263" s="803"/>
      <c r="BM263" s="803"/>
    </row>
    <row r="264" spans="1:65" ht="65.150000000000006" customHeight="1" thickBot="1">
      <c r="A264" s="725"/>
      <c r="B264" s="812"/>
      <c r="C264" s="731"/>
      <c r="D264" s="113"/>
      <c r="E264" s="113"/>
      <c r="F264" s="815"/>
      <c r="G264" s="781"/>
      <c r="H264" s="105"/>
      <c r="I264" s="161"/>
      <c r="J264" s="105"/>
      <c r="K264" s="30"/>
      <c r="L264" s="150"/>
      <c r="M264" s="727"/>
      <c r="N264" s="721"/>
      <c r="O264" s="810"/>
      <c r="P264" s="721"/>
      <c r="Q264" s="715"/>
      <c r="R264" s="714"/>
      <c r="S264" s="140"/>
      <c r="T264" s="102"/>
      <c r="U264" s="52" t="s">
        <v>467</v>
      </c>
      <c r="V264" s="145"/>
      <c r="W264" s="145"/>
      <c r="X264" s="145"/>
      <c r="Y264" s="99" t="str">
        <f t="shared" ref="Y264:Y327" si="49">+IF(X264="si",15,"")</f>
        <v/>
      </c>
      <c r="Z264" s="145"/>
      <c r="AA264" s="99" t="str">
        <f t="shared" ref="AA264:AA327" si="50">+IF(Z264="si",15,"")</f>
        <v/>
      </c>
      <c r="AB264" s="140"/>
      <c r="AC264" s="99" t="str">
        <f t="shared" ref="AC264:AC327" si="51">+IF(AB264="si",15,"")</f>
        <v/>
      </c>
      <c r="AD264" s="140"/>
      <c r="AE264" s="99" t="str">
        <f t="shared" ref="AE264:AE327" si="52">+IF(AD264="si",15,"")</f>
        <v/>
      </c>
      <c r="AF264" s="140"/>
      <c r="AG264" s="99" t="str">
        <f t="shared" ref="AG264:AG327" si="53">+IF(AF264="si",15,"")</f>
        <v/>
      </c>
      <c r="AH264" s="140"/>
      <c r="AI264" s="99" t="str">
        <f t="shared" ref="AI264:AI327" si="54">+IF(AH264="si",15,"")</f>
        <v/>
      </c>
      <c r="AJ264" s="140"/>
      <c r="AK264" s="28" t="str">
        <f t="shared" ref="AK264:AK327" si="55">+IF(AJ264="Completa",10,IF(AJ264="Incompleta",5,""))</f>
        <v/>
      </c>
      <c r="AL264" s="111" t="str">
        <f t="shared" ref="AL264:AL327" si="56">IF((SUM(Y264,AA264,AC264,AE264,AG264,AI264,AK264)=0),"",(SUM(Y264,AA264,AC264,AE264,AG264,AI264,AK264)))</f>
        <v/>
      </c>
      <c r="AM264" s="111" t="str">
        <f t="shared" ref="AM264:AM327" si="57">IF(AL264&lt;=85,"Débil",IF(AL264&lt;=95,"Moderado",IF(AL264=100,"Fuerte","")))</f>
        <v/>
      </c>
      <c r="AN264" s="178"/>
      <c r="AO264" s="178"/>
      <c r="AP264" s="178"/>
      <c r="AQ264" s="178"/>
      <c r="AR264" s="178"/>
      <c r="AS264" s="178"/>
      <c r="AT264" s="178"/>
      <c r="AU264" s="179" t="str">
        <f>IFERROR(VLOOKUP(AT264,'Seguridad Información'!$I$61:$J$65,2,0),"")</f>
        <v/>
      </c>
      <c r="AV264" s="83"/>
      <c r="AW264" s="82" t="str">
        <f t="shared" si="48"/>
        <v/>
      </c>
      <c r="AX264" s="81" t="str">
        <f t="shared" ref="AX264:AX327" si="58">IF(AW264&lt;=80,"Débil",IF(AW264&lt;=90,"Moderado",IF(AW264=100,"Fuerte","")))</f>
        <v/>
      </c>
      <c r="AY264" s="22" t="str">
        <f>IFERROR(VLOOKUP((CONCATENATE(AM264,AX264)),Listados!$U$3:$V$11,2,FALSE),"")</f>
        <v/>
      </c>
      <c r="AZ264" s="111">
        <f t="shared" si="47"/>
        <v>100</v>
      </c>
      <c r="BA264" s="718"/>
      <c r="BB264" s="761"/>
      <c r="BC264" s="142">
        <f>+IF(AND(W264="Preventivo",BB259="Fuerte"),2,IF(AND(W264="Preventivo",BB259="Moderado"),1,0))</f>
        <v>0</v>
      </c>
      <c r="BD264" s="68">
        <f>+IF(AND(W264="Detectivo/Correctivo",$BB259="Fuerte"),2,IF(AND(W264="Detectivo/Correctivo",$BB264="Moderado"),1,IF(AND(W264="Preventivo",$BB259="Fuerte"),1,0)))</f>
        <v>0</v>
      </c>
      <c r="BE264" s="142" t="e">
        <f>+N259-BC264</f>
        <v>#N/A</v>
      </c>
      <c r="BF264" s="142" t="e">
        <f>+P259-BD264</f>
        <v>#N/A</v>
      </c>
      <c r="BG264" s="714"/>
      <c r="BH264" s="714"/>
      <c r="BI264" s="714"/>
      <c r="BJ264" s="804"/>
      <c r="BK264" s="804"/>
      <c r="BL264" s="804"/>
      <c r="BM264" s="804"/>
    </row>
    <row r="265" spans="1:65" ht="65.150000000000006" customHeight="1" thickBot="1">
      <c r="A265" s="723">
        <v>44</v>
      </c>
      <c r="B265" s="811"/>
      <c r="C265" s="729" t="str">
        <f>IFERROR(VLOOKUP(B265,Listados!B$3:C$20,2,FALSE),"")</f>
        <v/>
      </c>
      <c r="D265" s="114"/>
      <c r="E265" s="114"/>
      <c r="F265" s="813"/>
      <c r="G265" s="735"/>
      <c r="H265" s="105"/>
      <c r="I265" s="161"/>
      <c r="J265" s="105"/>
      <c r="K265" s="109"/>
      <c r="L265" s="18"/>
      <c r="M265" s="762"/>
      <c r="N265" s="719" t="e">
        <f>+VLOOKUP(M265,Listados!$K$8:$L$12,2,0)</f>
        <v>#N/A</v>
      </c>
      <c r="O265" s="809"/>
      <c r="P265" s="719" t="e">
        <f>+VLOOKUP(O265,Listados!$K$13:$L$17,2,0)</f>
        <v>#N/A</v>
      </c>
      <c r="Q265" s="714" t="str">
        <f>IF(AND(M265&lt;&gt;"",O265&lt;&gt;""),VLOOKUP(M265&amp;O265,Listados!$M$3:$N$27,2,FALSE),"")</f>
        <v/>
      </c>
      <c r="R265" s="712" t="e">
        <f>+VLOOKUP(Q265,Listados!$P$3:$Q$6,2,FALSE)</f>
        <v>#N/A</v>
      </c>
      <c r="S265" s="140"/>
      <c r="T265" s="98"/>
      <c r="U265" s="52" t="s">
        <v>467</v>
      </c>
      <c r="V265" s="145"/>
      <c r="W265" s="145"/>
      <c r="X265" s="145"/>
      <c r="Y265" s="99" t="str">
        <f t="shared" si="49"/>
        <v/>
      </c>
      <c r="Z265" s="145"/>
      <c r="AA265" s="99" t="str">
        <f t="shared" si="50"/>
        <v/>
      </c>
      <c r="AB265" s="140"/>
      <c r="AC265" s="99" t="str">
        <f t="shared" si="51"/>
        <v/>
      </c>
      <c r="AD265" s="140"/>
      <c r="AE265" s="99" t="str">
        <f t="shared" si="52"/>
        <v/>
      </c>
      <c r="AF265" s="140"/>
      <c r="AG265" s="99" t="str">
        <f t="shared" si="53"/>
        <v/>
      </c>
      <c r="AH265" s="140"/>
      <c r="AI265" s="99" t="str">
        <f t="shared" si="54"/>
        <v/>
      </c>
      <c r="AJ265" s="140"/>
      <c r="AK265" s="28" t="str">
        <f t="shared" si="55"/>
        <v/>
      </c>
      <c r="AL265" s="111" t="str">
        <f t="shared" si="56"/>
        <v/>
      </c>
      <c r="AM265" s="111" t="str">
        <f t="shared" si="57"/>
        <v/>
      </c>
      <c r="AN265" s="178"/>
      <c r="AO265" s="178"/>
      <c r="AP265" s="178"/>
      <c r="AQ265" s="178"/>
      <c r="AR265" s="178"/>
      <c r="AS265" s="178"/>
      <c r="AT265" s="178"/>
      <c r="AU265" s="179" t="str">
        <f>IFERROR(VLOOKUP(AT265,'Seguridad Información'!$I$61:$J$65,2,0),"")</f>
        <v/>
      </c>
      <c r="AV265" s="83"/>
      <c r="AW265" s="82" t="str">
        <f t="shared" si="48"/>
        <v/>
      </c>
      <c r="AX265" s="81" t="str">
        <f t="shared" si="58"/>
        <v/>
      </c>
      <c r="AY265" s="22" t="str">
        <f>IFERROR(VLOOKUP((CONCATENATE(AM265,AX265)),Listados!$U$3:$V$11,2,FALSE),"")</f>
        <v/>
      </c>
      <c r="AZ265" s="111">
        <f t="shared" ref="AZ265:AZ328" si="59">IF(ISBLANK(AY265),"",IF(AY265="Débil", 0, IF(AY265="Moderado",50,100)))</f>
        <v>100</v>
      </c>
      <c r="BA265" s="716">
        <f>AVERAGE(AZ265:AZ270)</f>
        <v>100</v>
      </c>
      <c r="BB265" s="718" t="str">
        <f>IF(BA265&lt;=50, "Débil", IF(BA265&lt;=99,"Moderado","Fuerte"))</f>
        <v>Fuerte</v>
      </c>
      <c r="BC265" s="142">
        <f>+IF(AND(W265="Preventivo",BB265="Fuerte"),2,IF(AND(W265="Preventivo",BB265="Moderado"),1,0))</f>
        <v>0</v>
      </c>
      <c r="BD265" s="68">
        <f>+IF(AND(W265="Detectivo/Correctivo",$BB265="Fuerte"),2,IF(AND(W265="Detectivo/Correctivo",$BB265="Moderado"),1,IF(AND(W265="Preventivo",$BB265="Fuerte"),1,0)))</f>
        <v>0</v>
      </c>
      <c r="BE265" s="142" t="e">
        <f>+N265-BC265</f>
        <v>#N/A</v>
      </c>
      <c r="BF265" s="142" t="e">
        <f>+P265-BD265</f>
        <v>#N/A</v>
      </c>
      <c r="BG265" s="712" t="e">
        <f>+VLOOKUP(MIN(BE265,BE266,BE267,BE268,BE269,BE270),Listados!$J$18:$K$24,2,TRUE)</f>
        <v>#N/A</v>
      </c>
      <c r="BH265" s="712" t="e">
        <f>+VLOOKUP(MIN(BF265,BF266,BF267,BF268,BF269,BF270),Listados!$J$27:$K$32,2,TRUE)</f>
        <v>#N/A</v>
      </c>
      <c r="BI265" s="712" t="e">
        <f>IF(AND(BG265&lt;&gt;"",BH265&lt;&gt;""),VLOOKUP(BG265&amp;BH265,Listados!$M$3:$N$27,2,FALSE),"")</f>
        <v>#N/A</v>
      </c>
      <c r="BJ265" s="802" t="e">
        <f>+IF($R265="Asumir el riesgo","NA","")</f>
        <v>#N/A</v>
      </c>
      <c r="BK265" s="802" t="e">
        <f>+IF($R265="Asumir el riesgo","NA","")</f>
        <v>#N/A</v>
      </c>
      <c r="BL265" s="802" t="e">
        <f>+IF($R265="Asumir el riesgo","NA","")</f>
        <v>#N/A</v>
      </c>
      <c r="BM265" s="802" t="e">
        <f>+IF($R265="Asumir el riesgo","NA","")</f>
        <v>#N/A</v>
      </c>
    </row>
    <row r="266" spans="1:65" ht="65.150000000000006" customHeight="1" thickBot="1">
      <c r="A266" s="724"/>
      <c r="B266" s="812"/>
      <c r="C266" s="730"/>
      <c r="D266" s="158"/>
      <c r="E266" s="158"/>
      <c r="F266" s="814"/>
      <c r="G266" s="736"/>
      <c r="H266" s="105"/>
      <c r="I266" s="161"/>
      <c r="J266" s="105"/>
      <c r="K266" s="160"/>
      <c r="L266" s="150"/>
      <c r="M266" s="727"/>
      <c r="N266" s="720"/>
      <c r="O266" s="810"/>
      <c r="P266" s="720"/>
      <c r="Q266" s="715"/>
      <c r="R266" s="713"/>
      <c r="S266" s="140"/>
      <c r="T266" s="180"/>
      <c r="U266" s="52" t="s">
        <v>467</v>
      </c>
      <c r="V266" s="145"/>
      <c r="W266" s="145"/>
      <c r="X266" s="145"/>
      <c r="Y266" s="99" t="str">
        <f t="shared" si="49"/>
        <v/>
      </c>
      <c r="Z266" s="145"/>
      <c r="AA266" s="99" t="str">
        <f t="shared" si="50"/>
        <v/>
      </c>
      <c r="AB266" s="140"/>
      <c r="AC266" s="99" t="str">
        <f t="shared" si="51"/>
        <v/>
      </c>
      <c r="AD266" s="140"/>
      <c r="AE266" s="99" t="str">
        <f t="shared" si="52"/>
        <v/>
      </c>
      <c r="AF266" s="140"/>
      <c r="AG266" s="99" t="str">
        <f t="shared" si="53"/>
        <v/>
      </c>
      <c r="AH266" s="140"/>
      <c r="AI266" s="99" t="str">
        <f t="shared" si="54"/>
        <v/>
      </c>
      <c r="AJ266" s="140"/>
      <c r="AK266" s="28" t="str">
        <f t="shared" si="55"/>
        <v/>
      </c>
      <c r="AL266" s="111" t="str">
        <f t="shared" si="56"/>
        <v/>
      </c>
      <c r="AM266" s="111" t="str">
        <f t="shared" si="57"/>
        <v/>
      </c>
      <c r="AN266" s="178"/>
      <c r="AO266" s="178"/>
      <c r="AP266" s="178"/>
      <c r="AQ266" s="178"/>
      <c r="AR266" s="178"/>
      <c r="AS266" s="178"/>
      <c r="AT266" s="178"/>
      <c r="AU266" s="179" t="str">
        <f>IFERROR(VLOOKUP(AT266,'Seguridad Información'!$I$61:$J$65,2,0),"")</f>
        <v/>
      </c>
      <c r="AV266" s="83"/>
      <c r="AW266" s="82" t="str">
        <f t="shared" si="48"/>
        <v/>
      </c>
      <c r="AX266" s="81" t="str">
        <f t="shared" si="58"/>
        <v/>
      </c>
      <c r="AY266" s="22" t="str">
        <f>IFERROR(VLOOKUP((CONCATENATE(AM266,AX266)),Listados!$U$3:$V$11,2,FALSE),"")</f>
        <v/>
      </c>
      <c r="AZ266" s="111">
        <f t="shared" si="59"/>
        <v>100</v>
      </c>
      <c r="BA266" s="717"/>
      <c r="BB266" s="761"/>
      <c r="BC266" s="142">
        <f>+IF(AND(W266="Preventivo",BB265="Fuerte"),2,IF(AND(W266="Preventivo",BB265="Moderado"),1,0))</f>
        <v>0</v>
      </c>
      <c r="BD266" s="68">
        <f>+IF(AND(W266="Detectivo/Correctivo",$BB265="Fuerte"),2,IF(AND(W266="Detectivo/Correctivo",$BB266="Moderado"),1,IF(AND(W266="Preventivo",$BB265="Fuerte"),1,0)))</f>
        <v>0</v>
      </c>
      <c r="BE266" s="142" t="e">
        <f>+N265-BC266</f>
        <v>#N/A</v>
      </c>
      <c r="BF266" s="142" t="e">
        <f>+P265-BD266</f>
        <v>#N/A</v>
      </c>
      <c r="BG266" s="713"/>
      <c r="BH266" s="713"/>
      <c r="BI266" s="713"/>
      <c r="BJ266" s="803"/>
      <c r="BK266" s="803"/>
      <c r="BL266" s="803"/>
      <c r="BM266" s="803"/>
    </row>
    <row r="267" spans="1:65" ht="65.150000000000006" customHeight="1" thickBot="1">
      <c r="A267" s="724"/>
      <c r="B267" s="812"/>
      <c r="C267" s="730"/>
      <c r="D267" s="158"/>
      <c r="E267" s="158"/>
      <c r="F267" s="814"/>
      <c r="G267" s="736"/>
      <c r="H267" s="105"/>
      <c r="I267" s="161"/>
      <c r="J267" s="105"/>
      <c r="K267" s="160"/>
      <c r="L267" s="150"/>
      <c r="M267" s="727"/>
      <c r="N267" s="720"/>
      <c r="O267" s="810"/>
      <c r="P267" s="720"/>
      <c r="Q267" s="715"/>
      <c r="R267" s="713"/>
      <c r="S267" s="140"/>
      <c r="T267" s="100"/>
      <c r="U267" s="52" t="s">
        <v>467</v>
      </c>
      <c r="V267" s="145"/>
      <c r="W267" s="145"/>
      <c r="X267" s="145"/>
      <c r="Y267" s="99" t="str">
        <f t="shared" si="49"/>
        <v/>
      </c>
      <c r="Z267" s="145"/>
      <c r="AA267" s="99" t="str">
        <f t="shared" si="50"/>
        <v/>
      </c>
      <c r="AB267" s="140"/>
      <c r="AC267" s="99" t="str">
        <f t="shared" si="51"/>
        <v/>
      </c>
      <c r="AD267" s="140"/>
      <c r="AE267" s="99" t="str">
        <f t="shared" si="52"/>
        <v/>
      </c>
      <c r="AF267" s="140"/>
      <c r="AG267" s="99" t="str">
        <f t="shared" si="53"/>
        <v/>
      </c>
      <c r="AH267" s="140"/>
      <c r="AI267" s="99" t="str">
        <f t="shared" si="54"/>
        <v/>
      </c>
      <c r="AJ267" s="140"/>
      <c r="AK267" s="28" t="str">
        <f t="shared" si="55"/>
        <v/>
      </c>
      <c r="AL267" s="111" t="str">
        <f t="shared" si="56"/>
        <v/>
      </c>
      <c r="AM267" s="111" t="str">
        <f t="shared" si="57"/>
        <v/>
      </c>
      <c r="AN267" s="178"/>
      <c r="AO267" s="178"/>
      <c r="AP267" s="178"/>
      <c r="AQ267" s="178"/>
      <c r="AR267" s="178"/>
      <c r="AS267" s="178"/>
      <c r="AT267" s="178"/>
      <c r="AU267" s="179" t="str">
        <f>IFERROR(VLOOKUP(AT267,'Seguridad Información'!$I$61:$J$65,2,0),"")</f>
        <v/>
      </c>
      <c r="AV267" s="83"/>
      <c r="AW267" s="82" t="str">
        <f t="shared" si="48"/>
        <v/>
      </c>
      <c r="AX267" s="81" t="str">
        <f t="shared" si="58"/>
        <v/>
      </c>
      <c r="AY267" s="22" t="str">
        <f>IFERROR(VLOOKUP((CONCATENATE(AM267,AX267)),Listados!$U$3:$V$11,2,FALSE),"")</f>
        <v/>
      </c>
      <c r="AZ267" s="111">
        <f t="shared" si="59"/>
        <v>100</v>
      </c>
      <c r="BA267" s="717"/>
      <c r="BB267" s="761"/>
      <c r="BC267" s="142">
        <f>+IF(AND(W267="Preventivo",BB265="Fuerte"),2,IF(AND(W267="Preventivo",BB265="Moderado"),1,0))</f>
        <v>0</v>
      </c>
      <c r="BD267" s="68">
        <f>+IF(AND(W267="Detectivo/Correctivo",$BB265="Fuerte"),2,IF(AND(W267="Detectivo/Correctivo",$BB267="Moderado"),1,IF(AND(W267="Preventivo",$BB265="Fuerte"),1,0)))</f>
        <v>0</v>
      </c>
      <c r="BE267" s="142" t="e">
        <f>+N265-BC267</f>
        <v>#N/A</v>
      </c>
      <c r="BF267" s="142" t="e">
        <f>+P265-BD267</f>
        <v>#N/A</v>
      </c>
      <c r="BG267" s="713"/>
      <c r="BH267" s="713"/>
      <c r="BI267" s="713"/>
      <c r="BJ267" s="803"/>
      <c r="BK267" s="803"/>
      <c r="BL267" s="803"/>
      <c r="BM267" s="803"/>
    </row>
    <row r="268" spans="1:65" ht="65.150000000000006" customHeight="1" thickBot="1">
      <c r="A268" s="724"/>
      <c r="B268" s="812"/>
      <c r="C268" s="730"/>
      <c r="D268" s="158"/>
      <c r="E268" s="158"/>
      <c r="F268" s="814"/>
      <c r="G268" s="736"/>
      <c r="H268" s="105"/>
      <c r="I268" s="161"/>
      <c r="J268" s="105"/>
      <c r="K268" s="160"/>
      <c r="L268" s="150"/>
      <c r="M268" s="727"/>
      <c r="N268" s="720"/>
      <c r="O268" s="810"/>
      <c r="P268" s="720"/>
      <c r="Q268" s="715"/>
      <c r="R268" s="713"/>
      <c r="S268" s="140"/>
      <c r="T268" s="101"/>
      <c r="U268" s="52" t="s">
        <v>467</v>
      </c>
      <c r="V268" s="145"/>
      <c r="W268" s="145"/>
      <c r="X268" s="145"/>
      <c r="Y268" s="99" t="str">
        <f t="shared" si="49"/>
        <v/>
      </c>
      <c r="Z268" s="145"/>
      <c r="AA268" s="99" t="str">
        <f t="shared" si="50"/>
        <v/>
      </c>
      <c r="AB268" s="140"/>
      <c r="AC268" s="99" t="str">
        <f t="shared" si="51"/>
        <v/>
      </c>
      <c r="AD268" s="140"/>
      <c r="AE268" s="99" t="str">
        <f t="shared" si="52"/>
        <v/>
      </c>
      <c r="AF268" s="140"/>
      <c r="AG268" s="99" t="str">
        <f t="shared" si="53"/>
        <v/>
      </c>
      <c r="AH268" s="140"/>
      <c r="AI268" s="99" t="str">
        <f t="shared" si="54"/>
        <v/>
      </c>
      <c r="AJ268" s="140"/>
      <c r="AK268" s="28" t="str">
        <f t="shared" si="55"/>
        <v/>
      </c>
      <c r="AL268" s="111" t="str">
        <f t="shared" si="56"/>
        <v/>
      </c>
      <c r="AM268" s="111" t="str">
        <f t="shared" si="57"/>
        <v/>
      </c>
      <c r="AN268" s="178"/>
      <c r="AO268" s="178"/>
      <c r="AP268" s="178"/>
      <c r="AQ268" s="178"/>
      <c r="AR268" s="178"/>
      <c r="AS268" s="178"/>
      <c r="AT268" s="178"/>
      <c r="AU268" s="179" t="str">
        <f>IFERROR(VLOOKUP(AT268,'Seguridad Información'!$I$61:$J$65,2,0),"")</f>
        <v/>
      </c>
      <c r="AV268" s="83"/>
      <c r="AW268" s="82" t="str">
        <f t="shared" si="48"/>
        <v/>
      </c>
      <c r="AX268" s="81" t="str">
        <f t="shared" si="58"/>
        <v/>
      </c>
      <c r="AY268" s="22" t="str">
        <f>IFERROR(VLOOKUP((CONCATENATE(AM268,AX268)),Listados!$U$3:$V$11,2,FALSE),"")</f>
        <v/>
      </c>
      <c r="AZ268" s="111">
        <f t="shared" si="59"/>
        <v>100</v>
      </c>
      <c r="BA268" s="717"/>
      <c r="BB268" s="761"/>
      <c r="BC268" s="142">
        <f>+IF(AND(W268="Preventivo",BB265="Fuerte"),2,IF(AND(W268="Preventivo",BB265="Moderado"),1,0))</f>
        <v>0</v>
      </c>
      <c r="BD268" s="68">
        <f>+IF(AND(W268="Detectivo/Correctivo",$BB265="Fuerte"),2,IF(AND(W268="Detectivo/Correctivo",$BB268="Moderado"),1,IF(AND(W268="Preventivo",$BB265="Fuerte"),1,0)))</f>
        <v>0</v>
      </c>
      <c r="BE268" s="142" t="e">
        <f>+N265-BC268</f>
        <v>#N/A</v>
      </c>
      <c r="BF268" s="142" t="e">
        <f>+P265-BD268</f>
        <v>#N/A</v>
      </c>
      <c r="BG268" s="713"/>
      <c r="BH268" s="713"/>
      <c r="BI268" s="713"/>
      <c r="BJ268" s="803"/>
      <c r="BK268" s="803"/>
      <c r="BL268" s="803"/>
      <c r="BM268" s="803"/>
    </row>
    <row r="269" spans="1:65" ht="65.150000000000006" customHeight="1" thickBot="1">
      <c r="A269" s="724"/>
      <c r="B269" s="812"/>
      <c r="C269" s="730"/>
      <c r="D269" s="116"/>
      <c r="E269" s="116"/>
      <c r="F269" s="814"/>
      <c r="G269" s="736"/>
      <c r="H269" s="105"/>
      <c r="I269" s="161"/>
      <c r="J269" s="105"/>
      <c r="K269" s="29"/>
      <c r="L269" s="150"/>
      <c r="M269" s="727"/>
      <c r="N269" s="720"/>
      <c r="O269" s="810"/>
      <c r="P269" s="720"/>
      <c r="Q269" s="715"/>
      <c r="R269" s="713"/>
      <c r="S269" s="140"/>
      <c r="T269" s="180"/>
      <c r="U269" s="52" t="s">
        <v>467</v>
      </c>
      <c r="V269" s="145"/>
      <c r="W269" s="145"/>
      <c r="X269" s="145"/>
      <c r="Y269" s="99" t="str">
        <f t="shared" si="49"/>
        <v/>
      </c>
      <c r="Z269" s="145"/>
      <c r="AA269" s="99" t="str">
        <f t="shared" si="50"/>
        <v/>
      </c>
      <c r="AB269" s="140"/>
      <c r="AC269" s="99" t="str">
        <f t="shared" si="51"/>
        <v/>
      </c>
      <c r="AD269" s="140"/>
      <c r="AE269" s="99" t="str">
        <f t="shared" si="52"/>
        <v/>
      </c>
      <c r="AF269" s="140"/>
      <c r="AG269" s="99" t="str">
        <f t="shared" si="53"/>
        <v/>
      </c>
      <c r="AH269" s="140"/>
      <c r="AI269" s="99" t="str">
        <f t="shared" si="54"/>
        <v/>
      </c>
      <c r="AJ269" s="140"/>
      <c r="AK269" s="28" t="str">
        <f t="shared" si="55"/>
        <v/>
      </c>
      <c r="AL269" s="111" t="str">
        <f t="shared" si="56"/>
        <v/>
      </c>
      <c r="AM269" s="111" t="str">
        <f t="shared" si="57"/>
        <v/>
      </c>
      <c r="AN269" s="178"/>
      <c r="AO269" s="178"/>
      <c r="AP269" s="178"/>
      <c r="AQ269" s="178"/>
      <c r="AR269" s="178"/>
      <c r="AS269" s="178"/>
      <c r="AT269" s="178"/>
      <c r="AU269" s="179" t="str">
        <f>IFERROR(VLOOKUP(AT269,'Seguridad Información'!$I$61:$J$65,2,0),"")</f>
        <v/>
      </c>
      <c r="AV269" s="83"/>
      <c r="AW269" s="82" t="str">
        <f t="shared" si="48"/>
        <v/>
      </c>
      <c r="AX269" s="81" t="str">
        <f t="shared" si="58"/>
        <v/>
      </c>
      <c r="AY269" s="22" t="str">
        <f>IFERROR(VLOOKUP((CONCATENATE(AM269,AX269)),Listados!$U$3:$V$11,2,FALSE),"")</f>
        <v/>
      </c>
      <c r="AZ269" s="111">
        <f t="shared" si="59"/>
        <v>100</v>
      </c>
      <c r="BA269" s="717"/>
      <c r="BB269" s="761"/>
      <c r="BC269" s="142">
        <f>+IF(AND(W269="Preventivo",BB265="Fuerte"),2,IF(AND(W269="Preventivo",BB265="Moderado"),1,0))</f>
        <v>0</v>
      </c>
      <c r="BD269" s="68">
        <f>+IF(AND(W269="Detectivo/Correctivo",$BB265="Fuerte"),2,IF(AND(W269="Detectivo/Correctivo",$BB269="Moderado"),1,IF(AND(W269="Preventivo",$BB265="Fuerte"),1,0)))</f>
        <v>0</v>
      </c>
      <c r="BE269" s="142" t="e">
        <f>+N265-BC269</f>
        <v>#N/A</v>
      </c>
      <c r="BF269" s="142" t="e">
        <f>+P265-BD269</f>
        <v>#N/A</v>
      </c>
      <c r="BG269" s="713"/>
      <c r="BH269" s="713"/>
      <c r="BI269" s="713"/>
      <c r="BJ269" s="803"/>
      <c r="BK269" s="803"/>
      <c r="BL269" s="803"/>
      <c r="BM269" s="803"/>
    </row>
    <row r="270" spans="1:65" ht="65.150000000000006" customHeight="1" thickBot="1">
      <c r="A270" s="725"/>
      <c r="B270" s="812"/>
      <c r="C270" s="731"/>
      <c r="D270" s="113"/>
      <c r="E270" s="113"/>
      <c r="F270" s="815"/>
      <c r="G270" s="781"/>
      <c r="H270" s="105"/>
      <c r="I270" s="161"/>
      <c r="J270" s="105"/>
      <c r="K270" s="30"/>
      <c r="L270" s="150"/>
      <c r="M270" s="727"/>
      <c r="N270" s="721"/>
      <c r="O270" s="810"/>
      <c r="P270" s="721"/>
      <c r="Q270" s="715"/>
      <c r="R270" s="714"/>
      <c r="S270" s="140"/>
      <c r="T270" s="102"/>
      <c r="U270" s="52" t="s">
        <v>467</v>
      </c>
      <c r="V270" s="145"/>
      <c r="W270" s="145"/>
      <c r="X270" s="145"/>
      <c r="Y270" s="99" t="str">
        <f t="shared" si="49"/>
        <v/>
      </c>
      <c r="Z270" s="145"/>
      <c r="AA270" s="99" t="str">
        <f t="shared" si="50"/>
        <v/>
      </c>
      <c r="AB270" s="140"/>
      <c r="AC270" s="99" t="str">
        <f t="shared" si="51"/>
        <v/>
      </c>
      <c r="AD270" s="140"/>
      <c r="AE270" s="99" t="str">
        <f t="shared" si="52"/>
        <v/>
      </c>
      <c r="AF270" s="140"/>
      <c r="AG270" s="99" t="str">
        <f t="shared" si="53"/>
        <v/>
      </c>
      <c r="AH270" s="140"/>
      <c r="AI270" s="99" t="str">
        <f t="shared" si="54"/>
        <v/>
      </c>
      <c r="AJ270" s="140"/>
      <c r="AK270" s="28" t="str">
        <f t="shared" si="55"/>
        <v/>
      </c>
      <c r="AL270" s="111" t="str">
        <f t="shared" si="56"/>
        <v/>
      </c>
      <c r="AM270" s="111" t="str">
        <f t="shared" si="57"/>
        <v/>
      </c>
      <c r="AN270" s="178"/>
      <c r="AO270" s="178"/>
      <c r="AP270" s="178"/>
      <c r="AQ270" s="178"/>
      <c r="AR270" s="178"/>
      <c r="AS270" s="178"/>
      <c r="AT270" s="178"/>
      <c r="AU270" s="179" t="str">
        <f>IFERROR(VLOOKUP(AT270,'Seguridad Información'!$I$61:$J$65,2,0),"")</f>
        <v/>
      </c>
      <c r="AV270" s="83"/>
      <c r="AW270" s="82" t="str">
        <f t="shared" si="48"/>
        <v/>
      </c>
      <c r="AX270" s="81" t="str">
        <f t="shared" si="58"/>
        <v/>
      </c>
      <c r="AY270" s="22" t="str">
        <f>IFERROR(VLOOKUP((CONCATENATE(AM270,AX270)),Listados!$U$3:$V$11,2,FALSE),"")</f>
        <v/>
      </c>
      <c r="AZ270" s="111">
        <f t="shared" si="59"/>
        <v>100</v>
      </c>
      <c r="BA270" s="718"/>
      <c r="BB270" s="761"/>
      <c r="BC270" s="142">
        <f>+IF(AND(W270="Preventivo",BB265="Fuerte"),2,IF(AND(W270="Preventivo",BB265="Moderado"),1,0))</f>
        <v>0</v>
      </c>
      <c r="BD270" s="68">
        <f>+IF(AND(W270="Detectivo/Correctivo",$BB265="Fuerte"),2,IF(AND(W270="Detectivo/Correctivo",$BB270="Moderado"),1,IF(AND(W270="Preventivo",$BB265="Fuerte"),1,0)))</f>
        <v>0</v>
      </c>
      <c r="BE270" s="142" t="e">
        <f>+N265-BC270</f>
        <v>#N/A</v>
      </c>
      <c r="BF270" s="142" t="e">
        <f>+P265-BD270</f>
        <v>#N/A</v>
      </c>
      <c r="BG270" s="714"/>
      <c r="BH270" s="714"/>
      <c r="BI270" s="714"/>
      <c r="BJ270" s="804"/>
      <c r="BK270" s="804"/>
      <c r="BL270" s="804"/>
      <c r="BM270" s="804"/>
    </row>
    <row r="271" spans="1:65" ht="65.150000000000006" customHeight="1" thickBot="1">
      <c r="A271" s="723">
        <v>45</v>
      </c>
      <c r="B271" s="811"/>
      <c r="C271" s="729" t="str">
        <f>IFERROR(VLOOKUP(B271,Listados!B$3:C$20,2,FALSE),"")</f>
        <v/>
      </c>
      <c r="D271" s="114"/>
      <c r="E271" s="114"/>
      <c r="F271" s="813"/>
      <c r="G271" s="735"/>
      <c r="H271" s="105"/>
      <c r="I271" s="161"/>
      <c r="J271" s="105"/>
      <c r="K271" s="109"/>
      <c r="L271" s="18"/>
      <c r="M271" s="762"/>
      <c r="N271" s="719" t="e">
        <f>+VLOOKUP(M271,Listados!$K$8:$L$12,2,0)</f>
        <v>#N/A</v>
      </c>
      <c r="O271" s="809"/>
      <c r="P271" s="719" t="e">
        <f>+VLOOKUP(O271,Listados!$K$13:$L$17,2,0)</f>
        <v>#N/A</v>
      </c>
      <c r="Q271" s="714" t="str">
        <f>IF(AND(M271&lt;&gt;"",O271&lt;&gt;""),VLOOKUP(M271&amp;O271,Listados!$M$3:$N$27,2,FALSE),"")</f>
        <v/>
      </c>
      <c r="R271" s="712" t="e">
        <f>+VLOOKUP(Q271,Listados!$P$3:$Q$6,2,FALSE)</f>
        <v>#N/A</v>
      </c>
      <c r="S271" s="140"/>
      <c r="T271" s="98"/>
      <c r="U271" s="52" t="s">
        <v>467</v>
      </c>
      <c r="V271" s="145"/>
      <c r="W271" s="145"/>
      <c r="X271" s="145"/>
      <c r="Y271" s="99" t="str">
        <f t="shared" si="49"/>
        <v/>
      </c>
      <c r="Z271" s="145"/>
      <c r="AA271" s="99" t="str">
        <f t="shared" si="50"/>
        <v/>
      </c>
      <c r="AB271" s="140"/>
      <c r="AC271" s="99" t="str">
        <f t="shared" si="51"/>
        <v/>
      </c>
      <c r="AD271" s="140"/>
      <c r="AE271" s="99" t="str">
        <f t="shared" si="52"/>
        <v/>
      </c>
      <c r="AF271" s="140"/>
      <c r="AG271" s="99" t="str">
        <f t="shared" si="53"/>
        <v/>
      </c>
      <c r="AH271" s="140"/>
      <c r="AI271" s="99" t="str">
        <f t="shared" si="54"/>
        <v/>
      </c>
      <c r="AJ271" s="140"/>
      <c r="AK271" s="28" t="str">
        <f t="shared" si="55"/>
        <v/>
      </c>
      <c r="AL271" s="111" t="str">
        <f t="shared" si="56"/>
        <v/>
      </c>
      <c r="AM271" s="111" t="str">
        <f t="shared" si="57"/>
        <v/>
      </c>
      <c r="AN271" s="178"/>
      <c r="AO271" s="178"/>
      <c r="AP271" s="178"/>
      <c r="AQ271" s="178"/>
      <c r="AR271" s="178"/>
      <c r="AS271" s="178"/>
      <c r="AT271" s="178"/>
      <c r="AU271" s="179" t="str">
        <f>IFERROR(VLOOKUP(AT271,'Seguridad Información'!$I$61:$J$65,2,0),"")</f>
        <v/>
      </c>
      <c r="AV271" s="83"/>
      <c r="AW271" s="82" t="str">
        <f t="shared" si="48"/>
        <v/>
      </c>
      <c r="AX271" s="81" t="str">
        <f t="shared" si="58"/>
        <v/>
      </c>
      <c r="AY271" s="22" t="str">
        <f>IFERROR(VLOOKUP((CONCATENATE(AM271,AX271)),Listados!$U$3:$V$11,2,FALSE),"")</f>
        <v/>
      </c>
      <c r="AZ271" s="111">
        <f t="shared" si="59"/>
        <v>100</v>
      </c>
      <c r="BA271" s="716">
        <f>AVERAGE(AZ271:AZ276)</f>
        <v>100</v>
      </c>
      <c r="BB271" s="718" t="str">
        <f>IF(BA271&lt;=50, "Débil", IF(BA271&lt;=99,"Moderado","Fuerte"))</f>
        <v>Fuerte</v>
      </c>
      <c r="BC271" s="142">
        <f>+IF(AND(W271="Preventivo",BB271="Fuerte"),2,IF(AND(W271="Preventivo",BB271="Moderado"),1,0))</f>
        <v>0</v>
      </c>
      <c r="BD271" s="68">
        <f>+IF(AND(W271="Detectivo/Correctivo",$BB271="Fuerte"),2,IF(AND(W271="Detectivo/Correctivo",$BB271="Moderado"),1,IF(AND(W271="Preventivo",$BB271="Fuerte"),1,0)))</f>
        <v>0</v>
      </c>
      <c r="BE271" s="142" t="e">
        <f>+N271-BC271</f>
        <v>#N/A</v>
      </c>
      <c r="BF271" s="142" t="e">
        <f>+P271-BD271</f>
        <v>#N/A</v>
      </c>
      <c r="BG271" s="712" t="e">
        <f>+VLOOKUP(MIN(BE271,BE272,BE273,BE274,BE275,BE276),Listados!$J$18:$K$24,2,TRUE)</f>
        <v>#N/A</v>
      </c>
      <c r="BH271" s="712" t="e">
        <f>+VLOOKUP(MIN(BF271,BF272,BF273,BF274,BF275,BF276),Listados!$J$27:$K$32,2,TRUE)</f>
        <v>#N/A</v>
      </c>
      <c r="BI271" s="712" t="e">
        <f>IF(AND(BG271&lt;&gt;"",BH271&lt;&gt;""),VLOOKUP(BG271&amp;BH271,Listados!$M$3:$N$27,2,FALSE),"")</f>
        <v>#N/A</v>
      </c>
      <c r="BJ271" s="802" t="e">
        <f>+IF($R271="Asumir el riesgo","NA","")</f>
        <v>#N/A</v>
      </c>
      <c r="BK271" s="802" t="e">
        <f>+IF($R271="Asumir el riesgo","NA","")</f>
        <v>#N/A</v>
      </c>
      <c r="BL271" s="802" t="e">
        <f>+IF($R271="Asumir el riesgo","NA","")</f>
        <v>#N/A</v>
      </c>
      <c r="BM271" s="802" t="e">
        <f>+IF($R271="Asumir el riesgo","NA","")</f>
        <v>#N/A</v>
      </c>
    </row>
    <row r="272" spans="1:65" ht="65.150000000000006" customHeight="1" thickBot="1">
      <c r="A272" s="724"/>
      <c r="B272" s="812"/>
      <c r="C272" s="730"/>
      <c r="D272" s="158"/>
      <c r="E272" s="158"/>
      <c r="F272" s="814"/>
      <c r="G272" s="736"/>
      <c r="H272" s="105"/>
      <c r="I272" s="161"/>
      <c r="J272" s="105"/>
      <c r="K272" s="160"/>
      <c r="L272" s="150"/>
      <c r="M272" s="727"/>
      <c r="N272" s="720"/>
      <c r="O272" s="810"/>
      <c r="P272" s="720"/>
      <c r="Q272" s="715"/>
      <c r="R272" s="713"/>
      <c r="S272" s="140"/>
      <c r="T272" s="180"/>
      <c r="U272" s="52" t="s">
        <v>467</v>
      </c>
      <c r="V272" s="145"/>
      <c r="W272" s="145"/>
      <c r="X272" s="145"/>
      <c r="Y272" s="99" t="str">
        <f t="shared" si="49"/>
        <v/>
      </c>
      <c r="Z272" s="145"/>
      <c r="AA272" s="99" t="str">
        <f t="shared" si="50"/>
        <v/>
      </c>
      <c r="AB272" s="140"/>
      <c r="AC272" s="99" t="str">
        <f t="shared" si="51"/>
        <v/>
      </c>
      <c r="AD272" s="140"/>
      <c r="AE272" s="99" t="str">
        <f t="shared" si="52"/>
        <v/>
      </c>
      <c r="AF272" s="140"/>
      <c r="AG272" s="99" t="str">
        <f t="shared" si="53"/>
        <v/>
      </c>
      <c r="AH272" s="140"/>
      <c r="AI272" s="99" t="str">
        <f t="shared" si="54"/>
        <v/>
      </c>
      <c r="AJ272" s="140"/>
      <c r="AK272" s="28" t="str">
        <f t="shared" si="55"/>
        <v/>
      </c>
      <c r="AL272" s="111" t="str">
        <f t="shared" si="56"/>
        <v/>
      </c>
      <c r="AM272" s="111" t="str">
        <f t="shared" si="57"/>
        <v/>
      </c>
      <c r="AN272" s="178"/>
      <c r="AO272" s="178"/>
      <c r="AP272" s="178"/>
      <c r="AQ272" s="178"/>
      <c r="AR272" s="178"/>
      <c r="AS272" s="178"/>
      <c r="AT272" s="178"/>
      <c r="AU272" s="179" t="str">
        <f>IFERROR(VLOOKUP(AT272,'Seguridad Información'!$I$61:$J$65,2,0),"")</f>
        <v/>
      </c>
      <c r="AV272" s="83"/>
      <c r="AW272" s="82" t="str">
        <f t="shared" si="48"/>
        <v/>
      </c>
      <c r="AX272" s="81" t="str">
        <f t="shared" si="58"/>
        <v/>
      </c>
      <c r="AY272" s="22" t="str">
        <f>IFERROR(VLOOKUP((CONCATENATE(AM272,AX272)),Listados!$U$3:$V$11,2,FALSE),"")</f>
        <v/>
      </c>
      <c r="AZ272" s="111">
        <f t="shared" si="59"/>
        <v>100</v>
      </c>
      <c r="BA272" s="717"/>
      <c r="BB272" s="761"/>
      <c r="BC272" s="142">
        <f>+IF(AND(W272="Preventivo",BB271="Fuerte"),2,IF(AND(W272="Preventivo",BB271="Moderado"),1,0))</f>
        <v>0</v>
      </c>
      <c r="BD272" s="68">
        <f>+IF(AND(W272="Detectivo/Correctivo",$BB271="Fuerte"),2,IF(AND(W272="Detectivo/Correctivo",$BB272="Moderado"),1,IF(AND(W272="Preventivo",$BB271="Fuerte"),1,0)))</f>
        <v>0</v>
      </c>
      <c r="BE272" s="142" t="e">
        <f>+N271-BC272</f>
        <v>#N/A</v>
      </c>
      <c r="BF272" s="142" t="e">
        <f>+P271-BD272</f>
        <v>#N/A</v>
      </c>
      <c r="BG272" s="713"/>
      <c r="BH272" s="713"/>
      <c r="BI272" s="713"/>
      <c r="BJ272" s="803"/>
      <c r="BK272" s="803"/>
      <c r="BL272" s="803"/>
      <c r="BM272" s="803"/>
    </row>
    <row r="273" spans="1:65" ht="65.150000000000006" customHeight="1" thickBot="1">
      <c r="A273" s="724"/>
      <c r="B273" s="812"/>
      <c r="C273" s="730"/>
      <c r="D273" s="158"/>
      <c r="E273" s="158"/>
      <c r="F273" s="814"/>
      <c r="G273" s="736"/>
      <c r="H273" s="105"/>
      <c r="I273" s="161"/>
      <c r="J273" s="105"/>
      <c r="K273" s="160"/>
      <c r="L273" s="150"/>
      <c r="M273" s="727"/>
      <c r="N273" s="720"/>
      <c r="O273" s="810"/>
      <c r="P273" s="720"/>
      <c r="Q273" s="715"/>
      <c r="R273" s="713"/>
      <c r="S273" s="140"/>
      <c r="T273" s="100"/>
      <c r="U273" s="52" t="s">
        <v>467</v>
      </c>
      <c r="V273" s="145"/>
      <c r="W273" s="145"/>
      <c r="X273" s="145"/>
      <c r="Y273" s="99" t="str">
        <f t="shared" si="49"/>
        <v/>
      </c>
      <c r="Z273" s="145"/>
      <c r="AA273" s="99" t="str">
        <f t="shared" si="50"/>
        <v/>
      </c>
      <c r="AB273" s="140"/>
      <c r="AC273" s="99" t="str">
        <f t="shared" si="51"/>
        <v/>
      </c>
      <c r="AD273" s="140"/>
      <c r="AE273" s="99" t="str">
        <f t="shared" si="52"/>
        <v/>
      </c>
      <c r="AF273" s="140"/>
      <c r="AG273" s="99" t="str">
        <f t="shared" si="53"/>
        <v/>
      </c>
      <c r="AH273" s="140"/>
      <c r="AI273" s="99" t="str">
        <f t="shared" si="54"/>
        <v/>
      </c>
      <c r="AJ273" s="140"/>
      <c r="AK273" s="28" t="str">
        <f t="shared" si="55"/>
        <v/>
      </c>
      <c r="AL273" s="111" t="str">
        <f t="shared" si="56"/>
        <v/>
      </c>
      <c r="AM273" s="111" t="str">
        <f t="shared" si="57"/>
        <v/>
      </c>
      <c r="AN273" s="178"/>
      <c r="AO273" s="178"/>
      <c r="AP273" s="178"/>
      <c r="AQ273" s="178"/>
      <c r="AR273" s="178"/>
      <c r="AS273" s="178"/>
      <c r="AT273" s="178"/>
      <c r="AU273" s="179" t="str">
        <f>IFERROR(VLOOKUP(AT273,'Seguridad Información'!$I$61:$J$65,2,0),"")</f>
        <v/>
      </c>
      <c r="AV273" s="83"/>
      <c r="AW273" s="82" t="str">
        <f t="shared" si="48"/>
        <v/>
      </c>
      <c r="AX273" s="81" t="str">
        <f t="shared" si="58"/>
        <v/>
      </c>
      <c r="AY273" s="22" t="str">
        <f>IFERROR(VLOOKUP((CONCATENATE(AM273,AX273)),Listados!$U$3:$V$11,2,FALSE),"")</f>
        <v/>
      </c>
      <c r="AZ273" s="111">
        <f t="shared" si="59"/>
        <v>100</v>
      </c>
      <c r="BA273" s="717"/>
      <c r="BB273" s="761"/>
      <c r="BC273" s="142">
        <f>+IF(AND(W273="Preventivo",BB271="Fuerte"),2,IF(AND(W273="Preventivo",BB271="Moderado"),1,0))</f>
        <v>0</v>
      </c>
      <c r="BD273" s="68">
        <f>+IF(AND(W273="Detectivo/Correctivo",$BB271="Fuerte"),2,IF(AND(W273="Detectivo/Correctivo",$BB273="Moderado"),1,IF(AND(W273="Preventivo",$BB271="Fuerte"),1,0)))</f>
        <v>0</v>
      </c>
      <c r="BE273" s="142" t="e">
        <f>+N271-BC273</f>
        <v>#N/A</v>
      </c>
      <c r="BF273" s="142" t="e">
        <f>+P271-BD273</f>
        <v>#N/A</v>
      </c>
      <c r="BG273" s="713"/>
      <c r="BH273" s="713"/>
      <c r="BI273" s="713"/>
      <c r="BJ273" s="803"/>
      <c r="BK273" s="803"/>
      <c r="BL273" s="803"/>
      <c r="BM273" s="803"/>
    </row>
    <row r="274" spans="1:65" ht="65.150000000000006" customHeight="1" thickBot="1">
      <c r="A274" s="724"/>
      <c r="B274" s="812"/>
      <c r="C274" s="730"/>
      <c r="D274" s="158"/>
      <c r="E274" s="158"/>
      <c r="F274" s="814"/>
      <c r="G274" s="736"/>
      <c r="H274" s="105"/>
      <c r="I274" s="161"/>
      <c r="J274" s="105"/>
      <c r="K274" s="160"/>
      <c r="L274" s="150"/>
      <c r="M274" s="727"/>
      <c r="N274" s="720"/>
      <c r="O274" s="810"/>
      <c r="P274" s="720"/>
      <c r="Q274" s="715"/>
      <c r="R274" s="713"/>
      <c r="S274" s="140"/>
      <c r="T274" s="101"/>
      <c r="U274" s="52" t="s">
        <v>467</v>
      </c>
      <c r="V274" s="145"/>
      <c r="W274" s="145"/>
      <c r="X274" s="145"/>
      <c r="Y274" s="99" t="str">
        <f t="shared" si="49"/>
        <v/>
      </c>
      <c r="Z274" s="145"/>
      <c r="AA274" s="99" t="str">
        <f t="shared" si="50"/>
        <v/>
      </c>
      <c r="AB274" s="140"/>
      <c r="AC274" s="99" t="str">
        <f t="shared" si="51"/>
        <v/>
      </c>
      <c r="AD274" s="140"/>
      <c r="AE274" s="99" t="str">
        <f t="shared" si="52"/>
        <v/>
      </c>
      <c r="AF274" s="140"/>
      <c r="AG274" s="99" t="str">
        <f t="shared" si="53"/>
        <v/>
      </c>
      <c r="AH274" s="140"/>
      <c r="AI274" s="99" t="str">
        <f t="shared" si="54"/>
        <v/>
      </c>
      <c r="AJ274" s="140"/>
      <c r="AK274" s="28" t="str">
        <f t="shared" si="55"/>
        <v/>
      </c>
      <c r="AL274" s="111" t="str">
        <f t="shared" si="56"/>
        <v/>
      </c>
      <c r="AM274" s="111" t="str">
        <f t="shared" si="57"/>
        <v/>
      </c>
      <c r="AN274" s="178"/>
      <c r="AO274" s="178"/>
      <c r="AP274" s="178"/>
      <c r="AQ274" s="178"/>
      <c r="AR274" s="178"/>
      <c r="AS274" s="178"/>
      <c r="AT274" s="178"/>
      <c r="AU274" s="179" t="str">
        <f>IFERROR(VLOOKUP(AT274,'Seguridad Información'!$I$61:$J$65,2,0),"")</f>
        <v/>
      </c>
      <c r="AV274" s="83"/>
      <c r="AW274" s="82" t="str">
        <f t="shared" si="48"/>
        <v/>
      </c>
      <c r="AX274" s="81" t="str">
        <f t="shared" si="58"/>
        <v/>
      </c>
      <c r="AY274" s="22" t="str">
        <f>IFERROR(VLOOKUP((CONCATENATE(AM274,AX274)),Listados!$U$3:$V$11,2,FALSE),"")</f>
        <v/>
      </c>
      <c r="AZ274" s="111">
        <f t="shared" si="59"/>
        <v>100</v>
      </c>
      <c r="BA274" s="717"/>
      <c r="BB274" s="761"/>
      <c r="BC274" s="142">
        <f>+IF(AND(W274="Preventivo",BB271="Fuerte"),2,IF(AND(W274="Preventivo",BB271="Moderado"),1,0))</f>
        <v>0</v>
      </c>
      <c r="BD274" s="68">
        <f>+IF(AND(W274="Detectivo/Correctivo",$BB271="Fuerte"),2,IF(AND(W274="Detectivo/Correctivo",$BB274="Moderado"),1,IF(AND(W274="Preventivo",$BB271="Fuerte"),1,0)))</f>
        <v>0</v>
      </c>
      <c r="BE274" s="142" t="e">
        <f>+N271-BC274</f>
        <v>#N/A</v>
      </c>
      <c r="BF274" s="142" t="e">
        <f>+P271-BD274</f>
        <v>#N/A</v>
      </c>
      <c r="BG274" s="713"/>
      <c r="BH274" s="713"/>
      <c r="BI274" s="713"/>
      <c r="BJ274" s="803"/>
      <c r="BK274" s="803"/>
      <c r="BL274" s="803"/>
      <c r="BM274" s="803"/>
    </row>
    <row r="275" spans="1:65" ht="65.150000000000006" customHeight="1" thickBot="1">
      <c r="A275" s="724"/>
      <c r="B275" s="812"/>
      <c r="C275" s="730"/>
      <c r="D275" s="116"/>
      <c r="E275" s="116"/>
      <c r="F275" s="814"/>
      <c r="G275" s="736"/>
      <c r="H275" s="105"/>
      <c r="I275" s="161"/>
      <c r="J275" s="105"/>
      <c r="K275" s="29"/>
      <c r="L275" s="150"/>
      <c r="M275" s="727"/>
      <c r="N275" s="720"/>
      <c r="O275" s="810"/>
      <c r="P275" s="720"/>
      <c r="Q275" s="715"/>
      <c r="R275" s="713"/>
      <c r="S275" s="140"/>
      <c r="T275" s="180"/>
      <c r="U275" s="52" t="s">
        <v>467</v>
      </c>
      <c r="V275" s="145"/>
      <c r="W275" s="145"/>
      <c r="X275" s="145"/>
      <c r="Y275" s="99" t="str">
        <f t="shared" si="49"/>
        <v/>
      </c>
      <c r="Z275" s="145"/>
      <c r="AA275" s="99" t="str">
        <f t="shared" si="50"/>
        <v/>
      </c>
      <c r="AB275" s="140"/>
      <c r="AC275" s="99" t="str">
        <f t="shared" si="51"/>
        <v/>
      </c>
      <c r="AD275" s="140"/>
      <c r="AE275" s="99" t="str">
        <f t="shared" si="52"/>
        <v/>
      </c>
      <c r="AF275" s="140"/>
      <c r="AG275" s="99" t="str">
        <f t="shared" si="53"/>
        <v/>
      </c>
      <c r="AH275" s="140"/>
      <c r="AI275" s="99" t="str">
        <f t="shared" si="54"/>
        <v/>
      </c>
      <c r="AJ275" s="140"/>
      <c r="AK275" s="28" t="str">
        <f t="shared" si="55"/>
        <v/>
      </c>
      <c r="AL275" s="111" t="str">
        <f t="shared" si="56"/>
        <v/>
      </c>
      <c r="AM275" s="111" t="str">
        <f t="shared" si="57"/>
        <v/>
      </c>
      <c r="AN275" s="178"/>
      <c r="AO275" s="178"/>
      <c r="AP275" s="178"/>
      <c r="AQ275" s="178"/>
      <c r="AR275" s="178"/>
      <c r="AS275" s="178"/>
      <c r="AT275" s="178"/>
      <c r="AU275" s="179" t="str">
        <f>IFERROR(VLOOKUP(AT275,'Seguridad Información'!$I$61:$J$65,2,0),"")</f>
        <v/>
      </c>
      <c r="AV275" s="83"/>
      <c r="AW275" s="82" t="str">
        <f t="shared" si="48"/>
        <v/>
      </c>
      <c r="AX275" s="81" t="str">
        <f t="shared" si="58"/>
        <v/>
      </c>
      <c r="AY275" s="22" t="str">
        <f>IFERROR(VLOOKUP((CONCATENATE(AM275,AX275)),Listados!$U$3:$V$11,2,FALSE),"")</f>
        <v/>
      </c>
      <c r="AZ275" s="111">
        <f t="shared" si="59"/>
        <v>100</v>
      </c>
      <c r="BA275" s="717"/>
      <c r="BB275" s="761"/>
      <c r="BC275" s="142">
        <f>+IF(AND(W275="Preventivo",BB271="Fuerte"),2,IF(AND(W275="Preventivo",BB271="Moderado"),1,0))</f>
        <v>0</v>
      </c>
      <c r="BD275" s="68">
        <f>+IF(AND(W275="Detectivo/Correctivo",$BB271="Fuerte"),2,IF(AND(W275="Detectivo/Correctivo",$BB275="Moderado"),1,IF(AND(W275="Preventivo",$BB271="Fuerte"),1,0)))</f>
        <v>0</v>
      </c>
      <c r="BE275" s="142" t="e">
        <f>+N271-BC275</f>
        <v>#N/A</v>
      </c>
      <c r="BF275" s="142" t="e">
        <f>+P271-BD275</f>
        <v>#N/A</v>
      </c>
      <c r="BG275" s="713"/>
      <c r="BH275" s="713"/>
      <c r="BI275" s="713"/>
      <c r="BJ275" s="803"/>
      <c r="BK275" s="803"/>
      <c r="BL275" s="803"/>
      <c r="BM275" s="803"/>
    </row>
    <row r="276" spans="1:65" ht="65.150000000000006" customHeight="1" thickBot="1">
      <c r="A276" s="725"/>
      <c r="B276" s="812"/>
      <c r="C276" s="731"/>
      <c r="D276" s="113"/>
      <c r="E276" s="113"/>
      <c r="F276" s="815"/>
      <c r="G276" s="781"/>
      <c r="H276" s="105"/>
      <c r="I276" s="161"/>
      <c r="J276" s="105"/>
      <c r="K276" s="30"/>
      <c r="L276" s="150"/>
      <c r="M276" s="727"/>
      <c r="N276" s="721"/>
      <c r="O276" s="810"/>
      <c r="P276" s="721"/>
      <c r="Q276" s="715"/>
      <c r="R276" s="714"/>
      <c r="S276" s="140"/>
      <c r="T276" s="102"/>
      <c r="U276" s="52" t="s">
        <v>467</v>
      </c>
      <c r="V276" s="145"/>
      <c r="W276" s="145"/>
      <c r="X276" s="145"/>
      <c r="Y276" s="99" t="str">
        <f t="shared" si="49"/>
        <v/>
      </c>
      <c r="Z276" s="145"/>
      <c r="AA276" s="99" t="str">
        <f t="shared" si="50"/>
        <v/>
      </c>
      <c r="AB276" s="140"/>
      <c r="AC276" s="99" t="str">
        <f t="shared" si="51"/>
        <v/>
      </c>
      <c r="AD276" s="140"/>
      <c r="AE276" s="99" t="str">
        <f t="shared" si="52"/>
        <v/>
      </c>
      <c r="AF276" s="140"/>
      <c r="AG276" s="99" t="str">
        <f t="shared" si="53"/>
        <v/>
      </c>
      <c r="AH276" s="140"/>
      <c r="AI276" s="99" t="str">
        <f t="shared" si="54"/>
        <v/>
      </c>
      <c r="AJ276" s="140"/>
      <c r="AK276" s="28" t="str">
        <f t="shared" si="55"/>
        <v/>
      </c>
      <c r="AL276" s="111" t="str">
        <f t="shared" si="56"/>
        <v/>
      </c>
      <c r="AM276" s="111" t="str">
        <f t="shared" si="57"/>
        <v/>
      </c>
      <c r="AN276" s="178"/>
      <c r="AO276" s="178"/>
      <c r="AP276" s="178"/>
      <c r="AQ276" s="178"/>
      <c r="AR276" s="178"/>
      <c r="AS276" s="178"/>
      <c r="AT276" s="178"/>
      <c r="AU276" s="179" t="str">
        <f>IFERROR(VLOOKUP(AT276,'Seguridad Información'!$I$61:$J$65,2,0),"")</f>
        <v/>
      </c>
      <c r="AV276" s="83"/>
      <c r="AW276" s="82" t="str">
        <f t="shared" si="48"/>
        <v/>
      </c>
      <c r="AX276" s="81" t="str">
        <f t="shared" si="58"/>
        <v/>
      </c>
      <c r="AY276" s="22" t="str">
        <f>IFERROR(VLOOKUP((CONCATENATE(AM276,AX276)),Listados!$U$3:$V$11,2,FALSE),"")</f>
        <v/>
      </c>
      <c r="AZ276" s="111">
        <f t="shared" si="59"/>
        <v>100</v>
      </c>
      <c r="BA276" s="718"/>
      <c r="BB276" s="761"/>
      <c r="BC276" s="142">
        <f>+IF(AND(W276="Preventivo",BB271="Fuerte"),2,IF(AND(W276="Preventivo",BB271="Moderado"),1,0))</f>
        <v>0</v>
      </c>
      <c r="BD276" s="68">
        <f>+IF(AND(W276="Detectivo/Correctivo",$BB271="Fuerte"),2,IF(AND(W276="Detectivo/Correctivo",$BB276="Moderado"),1,IF(AND(W276="Preventivo",$BB271="Fuerte"),1,0)))</f>
        <v>0</v>
      </c>
      <c r="BE276" s="142" t="e">
        <f>+N271-BC276</f>
        <v>#N/A</v>
      </c>
      <c r="BF276" s="142" t="e">
        <f>+P271-BD276</f>
        <v>#N/A</v>
      </c>
      <c r="BG276" s="714"/>
      <c r="BH276" s="714"/>
      <c r="BI276" s="714"/>
      <c r="BJ276" s="804"/>
      <c r="BK276" s="804"/>
      <c r="BL276" s="804"/>
      <c r="BM276" s="804"/>
    </row>
    <row r="277" spans="1:65" ht="65.150000000000006" customHeight="1" thickBot="1">
      <c r="A277" s="723">
        <v>46</v>
      </c>
      <c r="B277" s="811"/>
      <c r="C277" s="729" t="str">
        <f>IFERROR(VLOOKUP(B277,Listados!B$3:C$20,2,FALSE),"")</f>
        <v/>
      </c>
      <c r="D277" s="114"/>
      <c r="E277" s="114"/>
      <c r="F277" s="813"/>
      <c r="G277" s="735"/>
      <c r="H277" s="105"/>
      <c r="I277" s="161"/>
      <c r="J277" s="105"/>
      <c r="K277" s="109"/>
      <c r="L277" s="18"/>
      <c r="M277" s="762"/>
      <c r="N277" s="719" t="e">
        <f>+VLOOKUP(M277,Listados!$K$8:$L$12,2,0)</f>
        <v>#N/A</v>
      </c>
      <c r="O277" s="809"/>
      <c r="P277" s="719" t="e">
        <f>+VLOOKUP(O277,Listados!$K$13:$L$17,2,0)</f>
        <v>#N/A</v>
      </c>
      <c r="Q277" s="714" t="str">
        <f>IF(AND(M277&lt;&gt;"",O277&lt;&gt;""),VLOOKUP(M277&amp;O277,Listados!$M$3:$N$27,2,FALSE),"")</f>
        <v/>
      </c>
      <c r="R277" s="712" t="e">
        <f>+VLOOKUP(Q277,Listados!$P$3:$Q$6,2,FALSE)</f>
        <v>#N/A</v>
      </c>
      <c r="S277" s="140"/>
      <c r="T277" s="98"/>
      <c r="U277" s="52" t="s">
        <v>467</v>
      </c>
      <c r="V277" s="145"/>
      <c r="W277" s="145"/>
      <c r="X277" s="145"/>
      <c r="Y277" s="99" t="str">
        <f t="shared" si="49"/>
        <v/>
      </c>
      <c r="Z277" s="145"/>
      <c r="AA277" s="99" t="str">
        <f t="shared" si="50"/>
        <v/>
      </c>
      <c r="AB277" s="140"/>
      <c r="AC277" s="99" t="str">
        <f t="shared" si="51"/>
        <v/>
      </c>
      <c r="AD277" s="140"/>
      <c r="AE277" s="99" t="str">
        <f t="shared" si="52"/>
        <v/>
      </c>
      <c r="AF277" s="140"/>
      <c r="AG277" s="99" t="str">
        <f t="shared" si="53"/>
        <v/>
      </c>
      <c r="AH277" s="140"/>
      <c r="AI277" s="99" t="str">
        <f t="shared" si="54"/>
        <v/>
      </c>
      <c r="AJ277" s="140"/>
      <c r="AK277" s="28" t="str">
        <f t="shared" si="55"/>
        <v/>
      </c>
      <c r="AL277" s="111" t="str">
        <f t="shared" si="56"/>
        <v/>
      </c>
      <c r="AM277" s="111" t="str">
        <f t="shared" si="57"/>
        <v/>
      </c>
      <c r="AN277" s="178"/>
      <c r="AO277" s="178"/>
      <c r="AP277" s="178"/>
      <c r="AQ277" s="178"/>
      <c r="AR277" s="178"/>
      <c r="AS277" s="178"/>
      <c r="AT277" s="178"/>
      <c r="AU277" s="179" t="str">
        <f>IFERROR(VLOOKUP(AT277,'Seguridad Información'!$I$61:$J$65,2,0),"")</f>
        <v/>
      </c>
      <c r="AV277" s="83"/>
      <c r="AW277" s="82" t="str">
        <f t="shared" si="48"/>
        <v/>
      </c>
      <c r="AX277" s="81" t="str">
        <f t="shared" si="58"/>
        <v/>
      </c>
      <c r="AY277" s="22" t="str">
        <f>IFERROR(VLOOKUP((CONCATENATE(AM277,AX277)),Listados!$U$3:$V$11,2,FALSE),"")</f>
        <v/>
      </c>
      <c r="AZ277" s="111">
        <f t="shared" si="59"/>
        <v>100</v>
      </c>
      <c r="BA277" s="716">
        <f>AVERAGE(AZ277:AZ282)</f>
        <v>100</v>
      </c>
      <c r="BB277" s="718" t="str">
        <f>IF(BA277&lt;=50, "Débil", IF(BA277&lt;=99,"Moderado","Fuerte"))</f>
        <v>Fuerte</v>
      </c>
      <c r="BC277" s="142">
        <f>+IF(AND(W277="Preventivo",BB277="Fuerte"),2,IF(AND(W277="Preventivo",BB277="Moderado"),1,0))</f>
        <v>0</v>
      </c>
      <c r="BD277" s="68">
        <f>+IF(AND(W277="Detectivo/Correctivo",$BB277="Fuerte"),2,IF(AND(W277="Detectivo/Correctivo",$BB277="Moderado"),1,IF(AND(W277="Preventivo",$BB277="Fuerte"),1,0)))</f>
        <v>0</v>
      </c>
      <c r="BE277" s="142" t="e">
        <f>+N277-BC277</f>
        <v>#N/A</v>
      </c>
      <c r="BF277" s="142" t="e">
        <f>+P277-BD277</f>
        <v>#N/A</v>
      </c>
      <c r="BG277" s="712" t="e">
        <f>+VLOOKUP(MIN(BE277,BE278,BE279,BE280,BE281,BE282),Listados!$J$18:$K$24,2,TRUE)</f>
        <v>#N/A</v>
      </c>
      <c r="BH277" s="712" t="e">
        <f>+VLOOKUP(MIN(BF277,BF278,BF279,BF280,BF281,BF282),Listados!$J$27:$K$32,2,TRUE)</f>
        <v>#N/A</v>
      </c>
      <c r="BI277" s="712" t="e">
        <f>IF(AND(BG277&lt;&gt;"",BH277&lt;&gt;""),VLOOKUP(BG277&amp;BH277,Listados!$M$3:$N$27,2,FALSE),"")</f>
        <v>#N/A</v>
      </c>
      <c r="BJ277" s="802" t="e">
        <f>+IF($R277="Asumir el riesgo","NA","")</f>
        <v>#N/A</v>
      </c>
      <c r="BK277" s="802" t="e">
        <f>+IF($R277="Asumir el riesgo","NA","")</f>
        <v>#N/A</v>
      </c>
      <c r="BL277" s="802" t="e">
        <f>+IF($R277="Asumir el riesgo","NA","")</f>
        <v>#N/A</v>
      </c>
      <c r="BM277" s="802" t="e">
        <f>+IF($R277="Asumir el riesgo","NA","")</f>
        <v>#N/A</v>
      </c>
    </row>
    <row r="278" spans="1:65" ht="65.150000000000006" customHeight="1" thickBot="1">
      <c r="A278" s="724"/>
      <c r="B278" s="812"/>
      <c r="C278" s="730"/>
      <c r="D278" s="158"/>
      <c r="E278" s="158"/>
      <c r="F278" s="814"/>
      <c r="G278" s="736"/>
      <c r="H278" s="105"/>
      <c r="I278" s="161"/>
      <c r="J278" s="105"/>
      <c r="K278" s="160"/>
      <c r="L278" s="150"/>
      <c r="M278" s="727"/>
      <c r="N278" s="720"/>
      <c r="O278" s="810"/>
      <c r="P278" s="720"/>
      <c r="Q278" s="715"/>
      <c r="R278" s="713"/>
      <c r="S278" s="140"/>
      <c r="T278" s="180"/>
      <c r="U278" s="52" t="s">
        <v>467</v>
      </c>
      <c r="V278" s="145"/>
      <c r="W278" s="145"/>
      <c r="X278" s="145"/>
      <c r="Y278" s="99" t="str">
        <f t="shared" si="49"/>
        <v/>
      </c>
      <c r="Z278" s="145"/>
      <c r="AA278" s="99" t="str">
        <f t="shared" si="50"/>
        <v/>
      </c>
      <c r="AB278" s="140"/>
      <c r="AC278" s="99" t="str">
        <f t="shared" si="51"/>
        <v/>
      </c>
      <c r="AD278" s="140"/>
      <c r="AE278" s="99" t="str">
        <f t="shared" si="52"/>
        <v/>
      </c>
      <c r="AF278" s="140"/>
      <c r="AG278" s="99" t="str">
        <f t="shared" si="53"/>
        <v/>
      </c>
      <c r="AH278" s="140"/>
      <c r="AI278" s="99" t="str">
        <f t="shared" si="54"/>
        <v/>
      </c>
      <c r="AJ278" s="140"/>
      <c r="AK278" s="28" t="str">
        <f t="shared" si="55"/>
        <v/>
      </c>
      <c r="AL278" s="111" t="str">
        <f t="shared" si="56"/>
        <v/>
      </c>
      <c r="AM278" s="111" t="str">
        <f t="shared" si="57"/>
        <v/>
      </c>
      <c r="AN278" s="178"/>
      <c r="AO278" s="178"/>
      <c r="AP278" s="178"/>
      <c r="AQ278" s="178"/>
      <c r="AR278" s="178"/>
      <c r="AS278" s="178"/>
      <c r="AT278" s="178"/>
      <c r="AU278" s="179" t="str">
        <f>IFERROR(VLOOKUP(AT278,'Seguridad Información'!$I$61:$J$65,2,0),"")</f>
        <v/>
      </c>
      <c r="AV278" s="83"/>
      <c r="AW278" s="82" t="str">
        <f t="shared" si="48"/>
        <v/>
      </c>
      <c r="AX278" s="81" t="str">
        <f t="shared" si="58"/>
        <v/>
      </c>
      <c r="AY278" s="22" t="str">
        <f>IFERROR(VLOOKUP((CONCATENATE(AM278,AX278)),Listados!$U$3:$V$11,2,FALSE),"")</f>
        <v/>
      </c>
      <c r="AZ278" s="111">
        <f t="shared" si="59"/>
        <v>100</v>
      </c>
      <c r="BA278" s="717"/>
      <c r="BB278" s="761"/>
      <c r="BC278" s="142">
        <f>+IF(AND(W278="Preventivo",BB277="Fuerte"),2,IF(AND(W278="Preventivo",BB277="Moderado"),1,0))</f>
        <v>0</v>
      </c>
      <c r="BD278" s="68">
        <f>+IF(AND(W278="Detectivo/Correctivo",$BB277="Fuerte"),2,IF(AND(W278="Detectivo/Correctivo",$BB278="Moderado"),1,IF(AND(W278="Preventivo",$BB277="Fuerte"),1,0)))</f>
        <v>0</v>
      </c>
      <c r="BE278" s="142" t="e">
        <f>+N277-BC278</f>
        <v>#N/A</v>
      </c>
      <c r="BF278" s="142" t="e">
        <f>+P277-BD278</f>
        <v>#N/A</v>
      </c>
      <c r="BG278" s="713"/>
      <c r="BH278" s="713"/>
      <c r="BI278" s="713"/>
      <c r="BJ278" s="803"/>
      <c r="BK278" s="803"/>
      <c r="BL278" s="803"/>
      <c r="BM278" s="803"/>
    </row>
    <row r="279" spans="1:65" ht="65.150000000000006" customHeight="1" thickBot="1">
      <c r="A279" s="724"/>
      <c r="B279" s="812"/>
      <c r="C279" s="730"/>
      <c r="D279" s="158"/>
      <c r="E279" s="158"/>
      <c r="F279" s="814"/>
      <c r="G279" s="736"/>
      <c r="H279" s="105"/>
      <c r="I279" s="161"/>
      <c r="J279" s="105"/>
      <c r="K279" s="160"/>
      <c r="L279" s="150"/>
      <c r="M279" s="727"/>
      <c r="N279" s="720"/>
      <c r="O279" s="810"/>
      <c r="P279" s="720"/>
      <c r="Q279" s="715"/>
      <c r="R279" s="713"/>
      <c r="S279" s="140"/>
      <c r="T279" s="100"/>
      <c r="U279" s="52" t="s">
        <v>467</v>
      </c>
      <c r="V279" s="145"/>
      <c r="W279" s="145"/>
      <c r="X279" s="145"/>
      <c r="Y279" s="99" t="str">
        <f t="shared" si="49"/>
        <v/>
      </c>
      <c r="Z279" s="145"/>
      <c r="AA279" s="99" t="str">
        <f t="shared" si="50"/>
        <v/>
      </c>
      <c r="AB279" s="140"/>
      <c r="AC279" s="99" t="str">
        <f t="shared" si="51"/>
        <v/>
      </c>
      <c r="AD279" s="140"/>
      <c r="AE279" s="99" t="str">
        <f t="shared" si="52"/>
        <v/>
      </c>
      <c r="AF279" s="140"/>
      <c r="AG279" s="99" t="str">
        <f t="shared" si="53"/>
        <v/>
      </c>
      <c r="AH279" s="140"/>
      <c r="AI279" s="99" t="str">
        <f t="shared" si="54"/>
        <v/>
      </c>
      <c r="AJ279" s="140"/>
      <c r="AK279" s="28" t="str">
        <f t="shared" si="55"/>
        <v/>
      </c>
      <c r="AL279" s="111" t="str">
        <f t="shared" si="56"/>
        <v/>
      </c>
      <c r="AM279" s="111" t="str">
        <f t="shared" si="57"/>
        <v/>
      </c>
      <c r="AN279" s="178"/>
      <c r="AO279" s="178"/>
      <c r="AP279" s="178"/>
      <c r="AQ279" s="178"/>
      <c r="AR279" s="178"/>
      <c r="AS279" s="178"/>
      <c r="AT279" s="178"/>
      <c r="AU279" s="179" t="str">
        <f>IFERROR(VLOOKUP(AT279,'Seguridad Información'!$I$61:$J$65,2,0),"")</f>
        <v/>
      </c>
      <c r="AV279" s="83"/>
      <c r="AW279" s="82" t="str">
        <f t="shared" si="48"/>
        <v/>
      </c>
      <c r="AX279" s="81" t="str">
        <f t="shared" si="58"/>
        <v/>
      </c>
      <c r="AY279" s="22" t="str">
        <f>IFERROR(VLOOKUP((CONCATENATE(AM279,AX279)),Listados!$U$3:$V$11,2,FALSE),"")</f>
        <v/>
      </c>
      <c r="AZ279" s="111">
        <f t="shared" si="59"/>
        <v>100</v>
      </c>
      <c r="BA279" s="717"/>
      <c r="BB279" s="761"/>
      <c r="BC279" s="142">
        <f>+IF(AND(W279="Preventivo",BB277="Fuerte"),2,IF(AND(W279="Preventivo",BB277="Moderado"),1,0))</f>
        <v>0</v>
      </c>
      <c r="BD279" s="68">
        <f>+IF(AND(W279="Detectivo/Correctivo",$BB277="Fuerte"),2,IF(AND(W279="Detectivo/Correctivo",$BB279="Moderado"),1,IF(AND(W279="Preventivo",$BB277="Fuerte"),1,0)))</f>
        <v>0</v>
      </c>
      <c r="BE279" s="142" t="e">
        <f>+N277-BC279</f>
        <v>#N/A</v>
      </c>
      <c r="BF279" s="142" t="e">
        <f>+P277-BD279</f>
        <v>#N/A</v>
      </c>
      <c r="BG279" s="713"/>
      <c r="BH279" s="713"/>
      <c r="BI279" s="713"/>
      <c r="BJ279" s="803"/>
      <c r="BK279" s="803"/>
      <c r="BL279" s="803"/>
      <c r="BM279" s="803"/>
    </row>
    <row r="280" spans="1:65" ht="65.150000000000006" customHeight="1" thickBot="1">
      <c r="A280" s="724"/>
      <c r="B280" s="812"/>
      <c r="C280" s="730"/>
      <c r="D280" s="158"/>
      <c r="E280" s="158"/>
      <c r="F280" s="814"/>
      <c r="G280" s="736"/>
      <c r="H280" s="105"/>
      <c r="I280" s="161"/>
      <c r="J280" s="105"/>
      <c r="K280" s="160"/>
      <c r="L280" s="150"/>
      <c r="M280" s="727"/>
      <c r="N280" s="720"/>
      <c r="O280" s="810"/>
      <c r="P280" s="720"/>
      <c r="Q280" s="715"/>
      <c r="R280" s="713"/>
      <c r="S280" s="140"/>
      <c r="T280" s="101"/>
      <c r="U280" s="52" t="s">
        <v>467</v>
      </c>
      <c r="V280" s="145"/>
      <c r="W280" s="145"/>
      <c r="X280" s="145"/>
      <c r="Y280" s="99" t="str">
        <f t="shared" si="49"/>
        <v/>
      </c>
      <c r="Z280" s="145"/>
      <c r="AA280" s="99" t="str">
        <f t="shared" si="50"/>
        <v/>
      </c>
      <c r="AB280" s="140"/>
      <c r="AC280" s="99" t="str">
        <f t="shared" si="51"/>
        <v/>
      </c>
      <c r="AD280" s="140"/>
      <c r="AE280" s="99" t="str">
        <f t="shared" si="52"/>
        <v/>
      </c>
      <c r="AF280" s="140"/>
      <c r="AG280" s="99" t="str">
        <f t="shared" si="53"/>
        <v/>
      </c>
      <c r="AH280" s="140"/>
      <c r="AI280" s="99" t="str">
        <f t="shared" si="54"/>
        <v/>
      </c>
      <c r="AJ280" s="140"/>
      <c r="AK280" s="28" t="str">
        <f t="shared" si="55"/>
        <v/>
      </c>
      <c r="AL280" s="111" t="str">
        <f t="shared" si="56"/>
        <v/>
      </c>
      <c r="AM280" s="111" t="str">
        <f t="shared" si="57"/>
        <v/>
      </c>
      <c r="AN280" s="178"/>
      <c r="AO280" s="178"/>
      <c r="AP280" s="178"/>
      <c r="AQ280" s="178"/>
      <c r="AR280" s="178"/>
      <c r="AS280" s="178"/>
      <c r="AT280" s="178"/>
      <c r="AU280" s="179" t="str">
        <f>IFERROR(VLOOKUP(AT280,'Seguridad Información'!$I$61:$J$65,2,0),"")</f>
        <v/>
      </c>
      <c r="AV280" s="83"/>
      <c r="AW280" s="82" t="str">
        <f t="shared" si="48"/>
        <v/>
      </c>
      <c r="AX280" s="81" t="str">
        <f t="shared" si="58"/>
        <v/>
      </c>
      <c r="AY280" s="22" t="str">
        <f>IFERROR(VLOOKUP((CONCATENATE(AM280,AX280)),Listados!$U$3:$V$11,2,FALSE),"")</f>
        <v/>
      </c>
      <c r="AZ280" s="111">
        <f t="shared" si="59"/>
        <v>100</v>
      </c>
      <c r="BA280" s="717"/>
      <c r="BB280" s="761"/>
      <c r="BC280" s="142">
        <f>+IF(AND(W280="Preventivo",BB277="Fuerte"),2,IF(AND(W280="Preventivo",BB277="Moderado"),1,0))</f>
        <v>0</v>
      </c>
      <c r="BD280" s="68">
        <f>+IF(AND(W280="Detectivo/Correctivo",$BB277="Fuerte"),2,IF(AND(W280="Detectivo/Correctivo",$BB280="Moderado"),1,IF(AND(W280="Preventivo",$BB277="Fuerte"),1,0)))</f>
        <v>0</v>
      </c>
      <c r="BE280" s="142" t="e">
        <f>+N277-BC280</f>
        <v>#N/A</v>
      </c>
      <c r="BF280" s="142" t="e">
        <f>+P277-BD280</f>
        <v>#N/A</v>
      </c>
      <c r="BG280" s="713"/>
      <c r="BH280" s="713"/>
      <c r="BI280" s="713"/>
      <c r="BJ280" s="803"/>
      <c r="BK280" s="803"/>
      <c r="BL280" s="803"/>
      <c r="BM280" s="803"/>
    </row>
    <row r="281" spans="1:65" ht="65.150000000000006" customHeight="1" thickBot="1">
      <c r="A281" s="724"/>
      <c r="B281" s="812"/>
      <c r="C281" s="730"/>
      <c r="D281" s="116"/>
      <c r="E281" s="116"/>
      <c r="F281" s="814"/>
      <c r="G281" s="736"/>
      <c r="H281" s="105"/>
      <c r="I281" s="161"/>
      <c r="J281" s="105"/>
      <c r="K281" s="29"/>
      <c r="L281" s="150"/>
      <c r="M281" s="727"/>
      <c r="N281" s="720"/>
      <c r="O281" s="810"/>
      <c r="P281" s="720"/>
      <c r="Q281" s="715"/>
      <c r="R281" s="713"/>
      <c r="S281" s="140"/>
      <c r="T281" s="180"/>
      <c r="U281" s="52" t="s">
        <v>467</v>
      </c>
      <c r="V281" s="145"/>
      <c r="W281" s="145"/>
      <c r="X281" s="145"/>
      <c r="Y281" s="99" t="str">
        <f t="shared" si="49"/>
        <v/>
      </c>
      <c r="Z281" s="145"/>
      <c r="AA281" s="99" t="str">
        <f t="shared" si="50"/>
        <v/>
      </c>
      <c r="AB281" s="140"/>
      <c r="AC281" s="99" t="str">
        <f t="shared" si="51"/>
        <v/>
      </c>
      <c r="AD281" s="140"/>
      <c r="AE281" s="99" t="str">
        <f t="shared" si="52"/>
        <v/>
      </c>
      <c r="AF281" s="140"/>
      <c r="AG281" s="99" t="str">
        <f t="shared" si="53"/>
        <v/>
      </c>
      <c r="AH281" s="140"/>
      <c r="AI281" s="99" t="str">
        <f t="shared" si="54"/>
        <v/>
      </c>
      <c r="AJ281" s="140"/>
      <c r="AK281" s="28" t="str">
        <f t="shared" si="55"/>
        <v/>
      </c>
      <c r="AL281" s="111" t="str">
        <f t="shared" si="56"/>
        <v/>
      </c>
      <c r="AM281" s="111" t="str">
        <f t="shared" si="57"/>
        <v/>
      </c>
      <c r="AN281" s="178"/>
      <c r="AO281" s="178"/>
      <c r="AP281" s="178"/>
      <c r="AQ281" s="178"/>
      <c r="AR281" s="178"/>
      <c r="AS281" s="178"/>
      <c r="AT281" s="178"/>
      <c r="AU281" s="179" t="str">
        <f>IFERROR(VLOOKUP(AT281,'Seguridad Información'!$I$61:$J$65,2,0),"")</f>
        <v/>
      </c>
      <c r="AV281" s="83"/>
      <c r="AW281" s="82" t="str">
        <f t="shared" si="48"/>
        <v/>
      </c>
      <c r="AX281" s="81" t="str">
        <f t="shared" si="58"/>
        <v/>
      </c>
      <c r="AY281" s="22" t="str">
        <f>IFERROR(VLOOKUP((CONCATENATE(AM281,AX281)),Listados!$U$3:$V$11,2,FALSE),"")</f>
        <v/>
      </c>
      <c r="AZ281" s="111">
        <f t="shared" si="59"/>
        <v>100</v>
      </c>
      <c r="BA281" s="717"/>
      <c r="BB281" s="761"/>
      <c r="BC281" s="142">
        <f>+IF(AND(W281="Preventivo",BB277="Fuerte"),2,IF(AND(W281="Preventivo",BB277="Moderado"),1,0))</f>
        <v>0</v>
      </c>
      <c r="BD281" s="68">
        <f>+IF(AND(W281="Detectivo/Correctivo",$BB277="Fuerte"),2,IF(AND(W281="Detectivo/Correctivo",$BB281="Moderado"),1,IF(AND(W281="Preventivo",$BB277="Fuerte"),1,0)))</f>
        <v>0</v>
      </c>
      <c r="BE281" s="142" t="e">
        <f>+N277-BC281</f>
        <v>#N/A</v>
      </c>
      <c r="BF281" s="142" t="e">
        <f>+P277-BD281</f>
        <v>#N/A</v>
      </c>
      <c r="BG281" s="713"/>
      <c r="BH281" s="713"/>
      <c r="BI281" s="713"/>
      <c r="BJ281" s="803"/>
      <c r="BK281" s="803"/>
      <c r="BL281" s="803"/>
      <c r="BM281" s="803"/>
    </row>
    <row r="282" spans="1:65" ht="65.150000000000006" customHeight="1" thickBot="1">
      <c r="A282" s="725"/>
      <c r="B282" s="812"/>
      <c r="C282" s="731"/>
      <c r="D282" s="113"/>
      <c r="E282" s="113"/>
      <c r="F282" s="815"/>
      <c r="G282" s="781"/>
      <c r="H282" s="105"/>
      <c r="I282" s="161"/>
      <c r="J282" s="105"/>
      <c r="K282" s="30"/>
      <c r="L282" s="150"/>
      <c r="M282" s="727"/>
      <c r="N282" s="721"/>
      <c r="O282" s="810"/>
      <c r="P282" s="721"/>
      <c r="Q282" s="715"/>
      <c r="R282" s="714"/>
      <c r="S282" s="140"/>
      <c r="T282" s="102"/>
      <c r="U282" s="52" t="s">
        <v>467</v>
      </c>
      <c r="V282" s="145"/>
      <c r="W282" s="145"/>
      <c r="X282" s="145"/>
      <c r="Y282" s="99" t="str">
        <f t="shared" si="49"/>
        <v/>
      </c>
      <c r="Z282" s="145"/>
      <c r="AA282" s="99" t="str">
        <f t="shared" si="50"/>
        <v/>
      </c>
      <c r="AB282" s="140"/>
      <c r="AC282" s="99" t="str">
        <f t="shared" si="51"/>
        <v/>
      </c>
      <c r="AD282" s="140"/>
      <c r="AE282" s="99" t="str">
        <f t="shared" si="52"/>
        <v/>
      </c>
      <c r="AF282" s="140"/>
      <c r="AG282" s="99" t="str">
        <f t="shared" si="53"/>
        <v/>
      </c>
      <c r="AH282" s="140"/>
      <c r="AI282" s="99" t="str">
        <f t="shared" si="54"/>
        <v/>
      </c>
      <c r="AJ282" s="140"/>
      <c r="AK282" s="28" t="str">
        <f t="shared" si="55"/>
        <v/>
      </c>
      <c r="AL282" s="111" t="str">
        <f t="shared" si="56"/>
        <v/>
      </c>
      <c r="AM282" s="111" t="str">
        <f t="shared" si="57"/>
        <v/>
      </c>
      <c r="AN282" s="178"/>
      <c r="AO282" s="178"/>
      <c r="AP282" s="178"/>
      <c r="AQ282" s="178"/>
      <c r="AR282" s="178"/>
      <c r="AS282" s="178"/>
      <c r="AT282" s="178"/>
      <c r="AU282" s="179" t="str">
        <f>IFERROR(VLOOKUP(AT282,'Seguridad Información'!$I$61:$J$65,2,0),"")</f>
        <v/>
      </c>
      <c r="AV282" s="83"/>
      <c r="AW282" s="82" t="str">
        <f t="shared" si="48"/>
        <v/>
      </c>
      <c r="AX282" s="81" t="str">
        <f t="shared" si="58"/>
        <v/>
      </c>
      <c r="AY282" s="22" t="str">
        <f>IFERROR(VLOOKUP((CONCATENATE(AM282,AX282)),Listados!$U$3:$V$11,2,FALSE),"")</f>
        <v/>
      </c>
      <c r="AZ282" s="111">
        <f t="shared" si="59"/>
        <v>100</v>
      </c>
      <c r="BA282" s="718"/>
      <c r="BB282" s="761"/>
      <c r="BC282" s="142">
        <f>+IF(AND(W282="Preventivo",BB277="Fuerte"),2,IF(AND(W282="Preventivo",BB277="Moderado"),1,0))</f>
        <v>0</v>
      </c>
      <c r="BD282" s="68">
        <f>+IF(AND(W282="Detectivo/Correctivo",$BB277="Fuerte"),2,IF(AND(W282="Detectivo/Correctivo",$BB282="Moderado"),1,IF(AND(W282="Preventivo",$BB277="Fuerte"),1,0)))</f>
        <v>0</v>
      </c>
      <c r="BE282" s="142" t="e">
        <f>+N277-BC282</f>
        <v>#N/A</v>
      </c>
      <c r="BF282" s="142" t="e">
        <f>+P277-BD282</f>
        <v>#N/A</v>
      </c>
      <c r="BG282" s="714"/>
      <c r="BH282" s="714"/>
      <c r="BI282" s="714"/>
      <c r="BJ282" s="804"/>
      <c r="BK282" s="804"/>
      <c r="BL282" s="804"/>
      <c r="BM282" s="804"/>
    </row>
    <row r="283" spans="1:65" ht="65.150000000000006" customHeight="1" thickBot="1">
      <c r="A283" s="723">
        <v>47</v>
      </c>
      <c r="B283" s="811"/>
      <c r="C283" s="729" t="str">
        <f>IFERROR(VLOOKUP(B283,Listados!B$3:C$20,2,FALSE),"")</f>
        <v/>
      </c>
      <c r="D283" s="114"/>
      <c r="E283" s="114"/>
      <c r="F283" s="813"/>
      <c r="G283" s="735"/>
      <c r="H283" s="105"/>
      <c r="I283" s="161"/>
      <c r="J283" s="105"/>
      <c r="K283" s="109"/>
      <c r="L283" s="18"/>
      <c r="M283" s="762"/>
      <c r="N283" s="719" t="e">
        <f>+VLOOKUP(M283,Listados!$K$8:$L$12,2,0)</f>
        <v>#N/A</v>
      </c>
      <c r="O283" s="809"/>
      <c r="P283" s="719" t="e">
        <f>+VLOOKUP(O283,Listados!$K$13:$L$17,2,0)</f>
        <v>#N/A</v>
      </c>
      <c r="Q283" s="714" t="str">
        <f>IF(AND(M283&lt;&gt;"",O283&lt;&gt;""),VLOOKUP(M283&amp;O283,Listados!$M$3:$N$27,2,FALSE),"")</f>
        <v/>
      </c>
      <c r="R283" s="712" t="e">
        <f>+VLOOKUP(Q283,Listados!$P$3:$Q$6,2,FALSE)</f>
        <v>#N/A</v>
      </c>
      <c r="S283" s="140"/>
      <c r="T283" s="98"/>
      <c r="U283" s="52" t="s">
        <v>467</v>
      </c>
      <c r="V283" s="145"/>
      <c r="W283" s="145"/>
      <c r="X283" s="145"/>
      <c r="Y283" s="99" t="str">
        <f t="shared" si="49"/>
        <v/>
      </c>
      <c r="Z283" s="145"/>
      <c r="AA283" s="99" t="str">
        <f t="shared" si="50"/>
        <v/>
      </c>
      <c r="AB283" s="140"/>
      <c r="AC283" s="99" t="str">
        <f t="shared" si="51"/>
        <v/>
      </c>
      <c r="AD283" s="140"/>
      <c r="AE283" s="99" t="str">
        <f t="shared" si="52"/>
        <v/>
      </c>
      <c r="AF283" s="140"/>
      <c r="AG283" s="99" t="str">
        <f t="shared" si="53"/>
        <v/>
      </c>
      <c r="AH283" s="140"/>
      <c r="AI283" s="99" t="str">
        <f t="shared" si="54"/>
        <v/>
      </c>
      <c r="AJ283" s="140"/>
      <c r="AK283" s="28" t="str">
        <f t="shared" si="55"/>
        <v/>
      </c>
      <c r="AL283" s="111" t="str">
        <f t="shared" si="56"/>
        <v/>
      </c>
      <c r="AM283" s="111" t="str">
        <f t="shared" si="57"/>
        <v/>
      </c>
      <c r="AN283" s="178"/>
      <c r="AO283" s="178"/>
      <c r="AP283" s="178"/>
      <c r="AQ283" s="178"/>
      <c r="AR283" s="178"/>
      <c r="AS283" s="178"/>
      <c r="AT283" s="178"/>
      <c r="AU283" s="179" t="str">
        <f>IFERROR(VLOOKUP(AT283,'Seguridad Información'!$I$61:$J$65,2,0),"")</f>
        <v/>
      </c>
      <c r="AV283" s="83"/>
      <c r="AW283" s="82" t="str">
        <f t="shared" si="48"/>
        <v/>
      </c>
      <c r="AX283" s="81" t="str">
        <f t="shared" si="58"/>
        <v/>
      </c>
      <c r="AY283" s="22" t="str">
        <f>IFERROR(VLOOKUP((CONCATENATE(AM283,AX283)),Listados!$U$3:$V$11,2,FALSE),"")</f>
        <v/>
      </c>
      <c r="AZ283" s="111">
        <f t="shared" si="59"/>
        <v>100</v>
      </c>
      <c r="BA283" s="716">
        <f>AVERAGE(AZ283:AZ288)</f>
        <v>100</v>
      </c>
      <c r="BB283" s="718" t="str">
        <f>IF(BA283&lt;=50, "Débil", IF(BA283&lt;=99,"Moderado","Fuerte"))</f>
        <v>Fuerte</v>
      </c>
      <c r="BC283" s="142">
        <f>+IF(AND(W283="Preventivo",BB283="Fuerte"),2,IF(AND(W283="Preventivo",BB283="Moderado"),1,0))</f>
        <v>0</v>
      </c>
      <c r="BD283" s="68">
        <f>+IF(AND(W283="Detectivo/Correctivo",$BB283="Fuerte"),2,IF(AND(W283="Detectivo/Correctivo",$BB283="Moderado"),1,IF(AND(W283="Preventivo",$BB283="Fuerte"),1,0)))</f>
        <v>0</v>
      </c>
      <c r="BE283" s="142" t="e">
        <f>+N283-BC283</f>
        <v>#N/A</v>
      </c>
      <c r="BF283" s="142" t="e">
        <f>+P283-BD283</f>
        <v>#N/A</v>
      </c>
      <c r="BG283" s="712" t="e">
        <f>+VLOOKUP(MIN(BE283,BE284,BE285,BE286,BE287,BE288),Listados!$J$18:$K$24,2,TRUE)</f>
        <v>#N/A</v>
      </c>
      <c r="BH283" s="712" t="e">
        <f>+VLOOKUP(MIN(BF283,BF284,BF285,BF286,BF287,BF288),Listados!$J$27:$K$32,2,TRUE)</f>
        <v>#N/A</v>
      </c>
      <c r="BI283" s="712" t="e">
        <f>IF(AND(BG283&lt;&gt;"",BH283&lt;&gt;""),VLOOKUP(BG283&amp;BH283,Listados!$M$3:$N$27,2,FALSE),"")</f>
        <v>#N/A</v>
      </c>
      <c r="BJ283" s="802" t="e">
        <f>+IF($R283="Asumir el riesgo","NA","")</f>
        <v>#N/A</v>
      </c>
      <c r="BK283" s="802" t="e">
        <f>+IF($R283="Asumir el riesgo","NA","")</f>
        <v>#N/A</v>
      </c>
      <c r="BL283" s="802" t="e">
        <f>+IF($R283="Asumir el riesgo","NA","")</f>
        <v>#N/A</v>
      </c>
      <c r="BM283" s="802" t="e">
        <f>+IF($R283="Asumir el riesgo","NA","")</f>
        <v>#N/A</v>
      </c>
    </row>
    <row r="284" spans="1:65" ht="65.150000000000006" customHeight="1" thickBot="1">
      <c r="A284" s="724"/>
      <c r="B284" s="812"/>
      <c r="C284" s="730"/>
      <c r="D284" s="158"/>
      <c r="E284" s="158"/>
      <c r="F284" s="814"/>
      <c r="G284" s="736"/>
      <c r="H284" s="105"/>
      <c r="I284" s="161"/>
      <c r="J284" s="105"/>
      <c r="K284" s="160"/>
      <c r="L284" s="150"/>
      <c r="M284" s="727"/>
      <c r="N284" s="720"/>
      <c r="O284" s="810"/>
      <c r="P284" s="720"/>
      <c r="Q284" s="715"/>
      <c r="R284" s="713"/>
      <c r="S284" s="140"/>
      <c r="T284" s="180"/>
      <c r="U284" s="52" t="s">
        <v>467</v>
      </c>
      <c r="V284" s="145"/>
      <c r="W284" s="145"/>
      <c r="X284" s="145"/>
      <c r="Y284" s="99" t="str">
        <f t="shared" si="49"/>
        <v/>
      </c>
      <c r="Z284" s="145"/>
      <c r="AA284" s="99" t="str">
        <f t="shared" si="50"/>
        <v/>
      </c>
      <c r="AB284" s="140"/>
      <c r="AC284" s="99" t="str">
        <f t="shared" si="51"/>
        <v/>
      </c>
      <c r="AD284" s="140"/>
      <c r="AE284" s="99" t="str">
        <f t="shared" si="52"/>
        <v/>
      </c>
      <c r="AF284" s="140"/>
      <c r="AG284" s="99" t="str">
        <f t="shared" si="53"/>
        <v/>
      </c>
      <c r="AH284" s="140"/>
      <c r="AI284" s="99" t="str">
        <f t="shared" si="54"/>
        <v/>
      </c>
      <c r="AJ284" s="140"/>
      <c r="AK284" s="28" t="str">
        <f t="shared" si="55"/>
        <v/>
      </c>
      <c r="AL284" s="111" t="str">
        <f t="shared" si="56"/>
        <v/>
      </c>
      <c r="AM284" s="111" t="str">
        <f t="shared" si="57"/>
        <v/>
      </c>
      <c r="AN284" s="178"/>
      <c r="AO284" s="178"/>
      <c r="AP284" s="178"/>
      <c r="AQ284" s="178"/>
      <c r="AR284" s="178"/>
      <c r="AS284" s="178"/>
      <c r="AT284" s="178"/>
      <c r="AU284" s="179" t="str">
        <f>IFERROR(VLOOKUP(AT284,'Seguridad Información'!$I$61:$J$65,2,0),"")</f>
        <v/>
      </c>
      <c r="AV284" s="83"/>
      <c r="AW284" s="82" t="str">
        <f t="shared" si="48"/>
        <v/>
      </c>
      <c r="AX284" s="81" t="str">
        <f t="shared" si="58"/>
        <v/>
      </c>
      <c r="AY284" s="22" t="str">
        <f>IFERROR(VLOOKUP((CONCATENATE(AM284,AX284)),Listados!$U$3:$V$11,2,FALSE),"")</f>
        <v/>
      </c>
      <c r="AZ284" s="111">
        <f t="shared" si="59"/>
        <v>100</v>
      </c>
      <c r="BA284" s="717"/>
      <c r="BB284" s="761"/>
      <c r="BC284" s="142">
        <f>+IF(AND(W284="Preventivo",BB283="Fuerte"),2,IF(AND(W284="Preventivo",BB283="Moderado"),1,0))</f>
        <v>0</v>
      </c>
      <c r="BD284" s="68">
        <f>+IF(AND(W284="Detectivo/Correctivo",$BB283="Fuerte"),2,IF(AND(W284="Detectivo/Correctivo",$BB284="Moderado"),1,IF(AND(W284="Preventivo",$BB283="Fuerte"),1,0)))</f>
        <v>0</v>
      </c>
      <c r="BE284" s="142" t="e">
        <f>+N283-BC284</f>
        <v>#N/A</v>
      </c>
      <c r="BF284" s="142" t="e">
        <f>+P283-BD284</f>
        <v>#N/A</v>
      </c>
      <c r="BG284" s="713"/>
      <c r="BH284" s="713"/>
      <c r="BI284" s="713"/>
      <c r="BJ284" s="803"/>
      <c r="BK284" s="803"/>
      <c r="BL284" s="803"/>
      <c r="BM284" s="803"/>
    </row>
    <row r="285" spans="1:65" ht="65.150000000000006" customHeight="1" thickBot="1">
      <c r="A285" s="724"/>
      <c r="B285" s="812"/>
      <c r="C285" s="730"/>
      <c r="D285" s="158"/>
      <c r="E285" s="158"/>
      <c r="F285" s="814"/>
      <c r="G285" s="736"/>
      <c r="H285" s="105"/>
      <c r="I285" s="161"/>
      <c r="J285" s="105"/>
      <c r="K285" s="160"/>
      <c r="L285" s="150"/>
      <c r="M285" s="727"/>
      <c r="N285" s="720"/>
      <c r="O285" s="810"/>
      <c r="P285" s="720"/>
      <c r="Q285" s="715"/>
      <c r="R285" s="713"/>
      <c r="S285" s="140"/>
      <c r="T285" s="100"/>
      <c r="U285" s="52" t="s">
        <v>467</v>
      </c>
      <c r="V285" s="145"/>
      <c r="W285" s="145"/>
      <c r="X285" s="145"/>
      <c r="Y285" s="99" t="str">
        <f t="shared" si="49"/>
        <v/>
      </c>
      <c r="Z285" s="145"/>
      <c r="AA285" s="99" t="str">
        <f t="shared" si="50"/>
        <v/>
      </c>
      <c r="AB285" s="140"/>
      <c r="AC285" s="99" t="str">
        <f t="shared" si="51"/>
        <v/>
      </c>
      <c r="AD285" s="140"/>
      <c r="AE285" s="99" t="str">
        <f t="shared" si="52"/>
        <v/>
      </c>
      <c r="AF285" s="140"/>
      <c r="AG285" s="99" t="str">
        <f t="shared" si="53"/>
        <v/>
      </c>
      <c r="AH285" s="140"/>
      <c r="AI285" s="99" t="str">
        <f t="shared" si="54"/>
        <v/>
      </c>
      <c r="AJ285" s="140"/>
      <c r="AK285" s="28" t="str">
        <f t="shared" si="55"/>
        <v/>
      </c>
      <c r="AL285" s="111" t="str">
        <f t="shared" si="56"/>
        <v/>
      </c>
      <c r="AM285" s="111" t="str">
        <f t="shared" si="57"/>
        <v/>
      </c>
      <c r="AN285" s="178"/>
      <c r="AO285" s="178"/>
      <c r="AP285" s="178"/>
      <c r="AQ285" s="178"/>
      <c r="AR285" s="178"/>
      <c r="AS285" s="178"/>
      <c r="AT285" s="178"/>
      <c r="AU285" s="179" t="str">
        <f>IFERROR(VLOOKUP(AT285,'Seguridad Información'!$I$61:$J$65,2,0),"")</f>
        <v/>
      </c>
      <c r="AV285" s="83"/>
      <c r="AW285" s="82" t="str">
        <f t="shared" si="48"/>
        <v/>
      </c>
      <c r="AX285" s="81" t="str">
        <f t="shared" si="58"/>
        <v/>
      </c>
      <c r="AY285" s="22" t="str">
        <f>IFERROR(VLOOKUP((CONCATENATE(AM285,AX285)),Listados!$U$3:$V$11,2,FALSE),"")</f>
        <v/>
      </c>
      <c r="AZ285" s="111">
        <f t="shared" si="59"/>
        <v>100</v>
      </c>
      <c r="BA285" s="717"/>
      <c r="BB285" s="761"/>
      <c r="BC285" s="142">
        <f>+IF(AND(W285="Preventivo",BB283="Fuerte"),2,IF(AND(W285="Preventivo",BB283="Moderado"),1,0))</f>
        <v>0</v>
      </c>
      <c r="BD285" s="68">
        <f>+IF(AND(W285="Detectivo/Correctivo",$BB283="Fuerte"),2,IF(AND(W285="Detectivo/Correctivo",$BB285="Moderado"),1,IF(AND(W285="Preventivo",$BB283="Fuerte"),1,0)))</f>
        <v>0</v>
      </c>
      <c r="BE285" s="142" t="e">
        <f>+N283-BC285</f>
        <v>#N/A</v>
      </c>
      <c r="BF285" s="142" t="e">
        <f>+P283-BD285</f>
        <v>#N/A</v>
      </c>
      <c r="BG285" s="713"/>
      <c r="BH285" s="713"/>
      <c r="BI285" s="713"/>
      <c r="BJ285" s="803"/>
      <c r="BK285" s="803"/>
      <c r="BL285" s="803"/>
      <c r="BM285" s="803"/>
    </row>
    <row r="286" spans="1:65" ht="65.150000000000006" customHeight="1" thickBot="1">
      <c r="A286" s="724"/>
      <c r="B286" s="812"/>
      <c r="C286" s="730"/>
      <c r="D286" s="158"/>
      <c r="E286" s="158"/>
      <c r="F286" s="814"/>
      <c r="G286" s="736"/>
      <c r="H286" s="105"/>
      <c r="I286" s="161"/>
      <c r="J286" s="105"/>
      <c r="K286" s="160"/>
      <c r="L286" s="150"/>
      <c r="M286" s="727"/>
      <c r="N286" s="720"/>
      <c r="O286" s="810"/>
      <c r="P286" s="720"/>
      <c r="Q286" s="715"/>
      <c r="R286" s="713"/>
      <c r="S286" s="140"/>
      <c r="T286" s="101"/>
      <c r="U286" s="52" t="s">
        <v>467</v>
      </c>
      <c r="V286" s="145"/>
      <c r="W286" s="145"/>
      <c r="X286" s="145"/>
      <c r="Y286" s="99" t="str">
        <f t="shared" si="49"/>
        <v/>
      </c>
      <c r="Z286" s="145"/>
      <c r="AA286" s="99" t="str">
        <f t="shared" si="50"/>
        <v/>
      </c>
      <c r="AB286" s="140"/>
      <c r="AC286" s="99" t="str">
        <f t="shared" si="51"/>
        <v/>
      </c>
      <c r="AD286" s="140"/>
      <c r="AE286" s="99" t="str">
        <f t="shared" si="52"/>
        <v/>
      </c>
      <c r="AF286" s="140"/>
      <c r="AG286" s="99" t="str">
        <f t="shared" si="53"/>
        <v/>
      </c>
      <c r="AH286" s="140"/>
      <c r="AI286" s="99" t="str">
        <f t="shared" si="54"/>
        <v/>
      </c>
      <c r="AJ286" s="140"/>
      <c r="AK286" s="28" t="str">
        <f t="shared" si="55"/>
        <v/>
      </c>
      <c r="AL286" s="111" t="str">
        <f t="shared" si="56"/>
        <v/>
      </c>
      <c r="AM286" s="111" t="str">
        <f t="shared" si="57"/>
        <v/>
      </c>
      <c r="AN286" s="178"/>
      <c r="AO286" s="178"/>
      <c r="AP286" s="178"/>
      <c r="AQ286" s="178"/>
      <c r="AR286" s="178"/>
      <c r="AS286" s="178"/>
      <c r="AT286" s="178"/>
      <c r="AU286" s="179" t="str">
        <f>IFERROR(VLOOKUP(AT286,'Seguridad Información'!$I$61:$J$65,2,0),"")</f>
        <v/>
      </c>
      <c r="AV286" s="83"/>
      <c r="AW286" s="82" t="str">
        <f t="shared" si="48"/>
        <v/>
      </c>
      <c r="AX286" s="81" t="str">
        <f t="shared" si="58"/>
        <v/>
      </c>
      <c r="AY286" s="22" t="str">
        <f>IFERROR(VLOOKUP((CONCATENATE(AM286,AX286)),Listados!$U$3:$V$11,2,FALSE),"")</f>
        <v/>
      </c>
      <c r="AZ286" s="111">
        <f t="shared" si="59"/>
        <v>100</v>
      </c>
      <c r="BA286" s="717"/>
      <c r="BB286" s="761"/>
      <c r="BC286" s="142">
        <f>+IF(AND(W286="Preventivo",BB283="Fuerte"),2,IF(AND(W286="Preventivo",BB283="Moderado"),1,0))</f>
        <v>0</v>
      </c>
      <c r="BD286" s="68">
        <f>+IF(AND(W286="Detectivo/Correctivo",$BB283="Fuerte"),2,IF(AND(W286="Detectivo/Correctivo",$BB286="Moderado"),1,IF(AND(W286="Preventivo",$BB283="Fuerte"),1,0)))</f>
        <v>0</v>
      </c>
      <c r="BE286" s="142" t="e">
        <f>+N283-BC286</f>
        <v>#N/A</v>
      </c>
      <c r="BF286" s="142" t="e">
        <f>+P283-BD286</f>
        <v>#N/A</v>
      </c>
      <c r="BG286" s="713"/>
      <c r="BH286" s="713"/>
      <c r="BI286" s="713"/>
      <c r="BJ286" s="803"/>
      <c r="BK286" s="803"/>
      <c r="BL286" s="803"/>
      <c r="BM286" s="803"/>
    </row>
    <row r="287" spans="1:65" ht="65.150000000000006" customHeight="1" thickBot="1">
      <c r="A287" s="724"/>
      <c r="B287" s="812"/>
      <c r="C287" s="730"/>
      <c r="D287" s="116"/>
      <c r="E287" s="116"/>
      <c r="F287" s="814"/>
      <c r="G287" s="736"/>
      <c r="H287" s="105"/>
      <c r="I287" s="161"/>
      <c r="J287" s="105"/>
      <c r="K287" s="29"/>
      <c r="L287" s="150"/>
      <c r="M287" s="727"/>
      <c r="N287" s="720"/>
      <c r="O287" s="810"/>
      <c r="P287" s="720"/>
      <c r="Q287" s="715"/>
      <c r="R287" s="713"/>
      <c r="S287" s="140"/>
      <c r="T287" s="180"/>
      <c r="U287" s="52" t="s">
        <v>467</v>
      </c>
      <c r="V287" s="145"/>
      <c r="W287" s="145"/>
      <c r="X287" s="145"/>
      <c r="Y287" s="99" t="str">
        <f t="shared" si="49"/>
        <v/>
      </c>
      <c r="Z287" s="145"/>
      <c r="AA287" s="99" t="str">
        <f t="shared" si="50"/>
        <v/>
      </c>
      <c r="AB287" s="140"/>
      <c r="AC287" s="99" t="str">
        <f t="shared" si="51"/>
        <v/>
      </c>
      <c r="AD287" s="140"/>
      <c r="AE287" s="99" t="str">
        <f t="shared" si="52"/>
        <v/>
      </c>
      <c r="AF287" s="140"/>
      <c r="AG287" s="99" t="str">
        <f t="shared" si="53"/>
        <v/>
      </c>
      <c r="AH287" s="140"/>
      <c r="AI287" s="99" t="str">
        <f t="shared" si="54"/>
        <v/>
      </c>
      <c r="AJ287" s="140"/>
      <c r="AK287" s="28" t="str">
        <f t="shared" si="55"/>
        <v/>
      </c>
      <c r="AL287" s="111" t="str">
        <f t="shared" si="56"/>
        <v/>
      </c>
      <c r="AM287" s="111" t="str">
        <f t="shared" si="57"/>
        <v/>
      </c>
      <c r="AN287" s="178"/>
      <c r="AO287" s="178"/>
      <c r="AP287" s="178"/>
      <c r="AQ287" s="178"/>
      <c r="AR287" s="178"/>
      <c r="AS287" s="178"/>
      <c r="AT287" s="178"/>
      <c r="AU287" s="179" t="str">
        <f>IFERROR(VLOOKUP(AT287,'Seguridad Información'!$I$61:$J$65,2,0),"")</f>
        <v/>
      </c>
      <c r="AV287" s="83"/>
      <c r="AW287" s="82" t="str">
        <f t="shared" si="48"/>
        <v/>
      </c>
      <c r="AX287" s="81" t="str">
        <f t="shared" si="58"/>
        <v/>
      </c>
      <c r="AY287" s="22" t="str">
        <f>IFERROR(VLOOKUP((CONCATENATE(AM287,AX287)),Listados!$U$3:$V$11,2,FALSE),"")</f>
        <v/>
      </c>
      <c r="AZ287" s="111">
        <f t="shared" si="59"/>
        <v>100</v>
      </c>
      <c r="BA287" s="717"/>
      <c r="BB287" s="761"/>
      <c r="BC287" s="142">
        <f>+IF(AND(W287="Preventivo",BB283="Fuerte"),2,IF(AND(W287="Preventivo",BB283="Moderado"),1,0))</f>
        <v>0</v>
      </c>
      <c r="BD287" s="68">
        <f>+IF(AND(W287="Detectivo/Correctivo",$BB283="Fuerte"),2,IF(AND(W287="Detectivo/Correctivo",$BB287="Moderado"),1,IF(AND(W287="Preventivo",$BB283="Fuerte"),1,0)))</f>
        <v>0</v>
      </c>
      <c r="BE287" s="142" t="e">
        <f>+N283-BC287</f>
        <v>#N/A</v>
      </c>
      <c r="BF287" s="142" t="e">
        <f>+P283-BD287</f>
        <v>#N/A</v>
      </c>
      <c r="BG287" s="713"/>
      <c r="BH287" s="713"/>
      <c r="BI287" s="713"/>
      <c r="BJ287" s="803"/>
      <c r="BK287" s="803"/>
      <c r="BL287" s="803"/>
      <c r="BM287" s="803"/>
    </row>
    <row r="288" spans="1:65" ht="65.150000000000006" customHeight="1" thickBot="1">
      <c r="A288" s="725"/>
      <c r="B288" s="812"/>
      <c r="C288" s="731"/>
      <c r="D288" s="113"/>
      <c r="E288" s="113"/>
      <c r="F288" s="815"/>
      <c r="G288" s="781"/>
      <c r="H288" s="105"/>
      <c r="I288" s="161"/>
      <c r="J288" s="105"/>
      <c r="K288" s="30"/>
      <c r="L288" s="150"/>
      <c r="M288" s="727"/>
      <c r="N288" s="721"/>
      <c r="O288" s="810"/>
      <c r="P288" s="721"/>
      <c r="Q288" s="715"/>
      <c r="R288" s="714"/>
      <c r="S288" s="140"/>
      <c r="T288" s="102"/>
      <c r="U288" s="52" t="s">
        <v>467</v>
      </c>
      <c r="V288" s="145"/>
      <c r="W288" s="145"/>
      <c r="X288" s="145"/>
      <c r="Y288" s="99" t="str">
        <f t="shared" si="49"/>
        <v/>
      </c>
      <c r="Z288" s="145"/>
      <c r="AA288" s="99" t="str">
        <f t="shared" si="50"/>
        <v/>
      </c>
      <c r="AB288" s="140"/>
      <c r="AC288" s="99" t="str">
        <f t="shared" si="51"/>
        <v/>
      </c>
      <c r="AD288" s="140"/>
      <c r="AE288" s="99" t="str">
        <f t="shared" si="52"/>
        <v/>
      </c>
      <c r="AF288" s="140"/>
      <c r="AG288" s="99" t="str">
        <f t="shared" si="53"/>
        <v/>
      </c>
      <c r="AH288" s="140"/>
      <c r="AI288" s="99" t="str">
        <f t="shared" si="54"/>
        <v/>
      </c>
      <c r="AJ288" s="140"/>
      <c r="AK288" s="28" t="str">
        <f t="shared" si="55"/>
        <v/>
      </c>
      <c r="AL288" s="111" t="str">
        <f t="shared" si="56"/>
        <v/>
      </c>
      <c r="AM288" s="111" t="str">
        <f t="shared" si="57"/>
        <v/>
      </c>
      <c r="AN288" s="178"/>
      <c r="AO288" s="178"/>
      <c r="AP288" s="178"/>
      <c r="AQ288" s="178"/>
      <c r="AR288" s="178"/>
      <c r="AS288" s="178"/>
      <c r="AT288" s="178"/>
      <c r="AU288" s="179" t="str">
        <f>IFERROR(VLOOKUP(AT288,'Seguridad Información'!$I$61:$J$65,2,0),"")</f>
        <v/>
      </c>
      <c r="AV288" s="83"/>
      <c r="AW288" s="82" t="str">
        <f t="shared" si="48"/>
        <v/>
      </c>
      <c r="AX288" s="81" t="str">
        <f t="shared" si="58"/>
        <v/>
      </c>
      <c r="AY288" s="22" t="str">
        <f>IFERROR(VLOOKUP((CONCATENATE(AM288,AX288)),Listados!$U$3:$V$11,2,FALSE),"")</f>
        <v/>
      </c>
      <c r="AZ288" s="111">
        <f t="shared" si="59"/>
        <v>100</v>
      </c>
      <c r="BA288" s="718"/>
      <c r="BB288" s="761"/>
      <c r="BC288" s="142">
        <f>+IF(AND(W288="Preventivo",BB283="Fuerte"),2,IF(AND(W288="Preventivo",BB283="Moderado"),1,0))</f>
        <v>0</v>
      </c>
      <c r="BD288" s="68">
        <f>+IF(AND(W288="Detectivo/Correctivo",$BB283="Fuerte"),2,IF(AND(W288="Detectivo/Correctivo",$BB288="Moderado"),1,IF(AND(W288="Preventivo",$BB283="Fuerte"),1,0)))</f>
        <v>0</v>
      </c>
      <c r="BE288" s="142" t="e">
        <f>+N283-BC288</f>
        <v>#N/A</v>
      </c>
      <c r="BF288" s="142" t="e">
        <f>+P283-BD288</f>
        <v>#N/A</v>
      </c>
      <c r="BG288" s="714"/>
      <c r="BH288" s="714"/>
      <c r="BI288" s="714"/>
      <c r="BJ288" s="804"/>
      <c r="BK288" s="804"/>
      <c r="BL288" s="804"/>
      <c r="BM288" s="804"/>
    </row>
    <row r="289" spans="1:65" ht="65.150000000000006" customHeight="1" thickBot="1">
      <c r="A289" s="723">
        <v>48</v>
      </c>
      <c r="B289" s="811"/>
      <c r="C289" s="729" t="str">
        <f>IFERROR(VLOOKUP(B289,Listados!B$3:C$20,2,FALSE),"")</f>
        <v/>
      </c>
      <c r="D289" s="114"/>
      <c r="E289" s="114"/>
      <c r="F289" s="813"/>
      <c r="G289" s="735"/>
      <c r="H289" s="105"/>
      <c r="I289" s="161"/>
      <c r="J289" s="105"/>
      <c r="K289" s="109"/>
      <c r="L289" s="18"/>
      <c r="M289" s="762"/>
      <c r="N289" s="719" t="e">
        <f>+VLOOKUP(M289,Listados!$K$8:$L$12,2,0)</f>
        <v>#N/A</v>
      </c>
      <c r="O289" s="809"/>
      <c r="P289" s="719" t="e">
        <f>+VLOOKUP(O289,Listados!$K$13:$L$17,2,0)</f>
        <v>#N/A</v>
      </c>
      <c r="Q289" s="714" t="str">
        <f>IF(AND(M289&lt;&gt;"",O289&lt;&gt;""),VLOOKUP(M289&amp;O289,Listados!$M$3:$N$27,2,FALSE),"")</f>
        <v/>
      </c>
      <c r="R289" s="712" t="e">
        <f>+VLOOKUP(Q289,Listados!$P$3:$Q$6,2,FALSE)</f>
        <v>#N/A</v>
      </c>
      <c r="S289" s="140"/>
      <c r="T289" s="98"/>
      <c r="U289" s="52" t="s">
        <v>467</v>
      </c>
      <c r="V289" s="145"/>
      <c r="W289" s="145"/>
      <c r="X289" s="145"/>
      <c r="Y289" s="99" t="str">
        <f t="shared" si="49"/>
        <v/>
      </c>
      <c r="Z289" s="145"/>
      <c r="AA289" s="99" t="str">
        <f t="shared" si="50"/>
        <v/>
      </c>
      <c r="AB289" s="140"/>
      <c r="AC289" s="99" t="str">
        <f t="shared" si="51"/>
        <v/>
      </c>
      <c r="AD289" s="140"/>
      <c r="AE289" s="99" t="str">
        <f t="shared" si="52"/>
        <v/>
      </c>
      <c r="AF289" s="140"/>
      <c r="AG289" s="99" t="str">
        <f t="shared" si="53"/>
        <v/>
      </c>
      <c r="AH289" s="140"/>
      <c r="AI289" s="99" t="str">
        <f t="shared" si="54"/>
        <v/>
      </c>
      <c r="AJ289" s="140"/>
      <c r="AK289" s="28" t="str">
        <f t="shared" si="55"/>
        <v/>
      </c>
      <c r="AL289" s="111" t="str">
        <f t="shared" si="56"/>
        <v/>
      </c>
      <c r="AM289" s="111" t="str">
        <f t="shared" si="57"/>
        <v/>
      </c>
      <c r="AN289" s="178"/>
      <c r="AO289" s="178"/>
      <c r="AP289" s="178"/>
      <c r="AQ289" s="178"/>
      <c r="AR289" s="178"/>
      <c r="AS289" s="178"/>
      <c r="AT289" s="178"/>
      <c r="AU289" s="179" t="str">
        <f>IFERROR(VLOOKUP(AT289,'Seguridad Información'!$I$61:$J$65,2,0),"")</f>
        <v/>
      </c>
      <c r="AV289" s="83"/>
      <c r="AW289" s="82" t="str">
        <f t="shared" si="48"/>
        <v/>
      </c>
      <c r="AX289" s="81" t="str">
        <f t="shared" si="58"/>
        <v/>
      </c>
      <c r="AY289" s="22" t="str">
        <f>IFERROR(VLOOKUP((CONCATENATE(AM289,AX289)),Listados!$U$3:$V$11,2,FALSE),"")</f>
        <v/>
      </c>
      <c r="AZ289" s="111">
        <f t="shared" si="59"/>
        <v>100</v>
      </c>
      <c r="BA289" s="716">
        <f>AVERAGE(AZ289:AZ294)</f>
        <v>100</v>
      </c>
      <c r="BB289" s="718" t="str">
        <f>IF(BA289&lt;=50, "Débil", IF(BA289&lt;=99,"Moderado","Fuerte"))</f>
        <v>Fuerte</v>
      </c>
      <c r="BC289" s="142">
        <f>+IF(AND(W289="Preventivo",BB289="Fuerte"),2,IF(AND(W289="Preventivo",BB289="Moderado"),1,0))</f>
        <v>0</v>
      </c>
      <c r="BD289" s="68">
        <f>+IF(AND(W289="Detectivo/Correctivo",$BB289="Fuerte"),2,IF(AND(W289="Detectivo/Correctivo",$BB289="Moderado"),1,IF(AND(W289="Preventivo",$BB289="Fuerte"),1,0)))</f>
        <v>0</v>
      </c>
      <c r="BE289" s="142" t="e">
        <f>+N289-BC289</f>
        <v>#N/A</v>
      </c>
      <c r="BF289" s="142" t="e">
        <f>+P289-BD289</f>
        <v>#N/A</v>
      </c>
      <c r="BG289" s="712" t="e">
        <f>+VLOOKUP(MIN(BE289,BE290,BE291,BE292,BE293,BE294),Listados!$J$18:$K$24,2,TRUE)</f>
        <v>#N/A</v>
      </c>
      <c r="BH289" s="712" t="e">
        <f>+VLOOKUP(MIN(BF289,BF290,BF291,BF292,BF293,BF294),Listados!$J$27:$K$32,2,TRUE)</f>
        <v>#N/A</v>
      </c>
      <c r="BI289" s="712" t="e">
        <f>IF(AND(BG289&lt;&gt;"",BH289&lt;&gt;""),VLOOKUP(BG289&amp;BH289,Listados!$M$3:$N$27,2,FALSE),"")</f>
        <v>#N/A</v>
      </c>
      <c r="BJ289" s="802" t="e">
        <f>+IF($R289="Asumir el riesgo","NA","")</f>
        <v>#N/A</v>
      </c>
      <c r="BK289" s="802" t="e">
        <f>+IF($R289="Asumir el riesgo","NA","")</f>
        <v>#N/A</v>
      </c>
      <c r="BL289" s="802" t="e">
        <f>+IF($R289="Asumir el riesgo","NA","")</f>
        <v>#N/A</v>
      </c>
      <c r="BM289" s="802" t="e">
        <f>+IF($R289="Asumir el riesgo","NA","")</f>
        <v>#N/A</v>
      </c>
    </row>
    <row r="290" spans="1:65" ht="65.150000000000006" customHeight="1" thickBot="1">
      <c r="A290" s="724"/>
      <c r="B290" s="812"/>
      <c r="C290" s="730"/>
      <c r="D290" s="158"/>
      <c r="E290" s="158"/>
      <c r="F290" s="814"/>
      <c r="G290" s="736"/>
      <c r="H290" s="105"/>
      <c r="I290" s="161"/>
      <c r="J290" s="105"/>
      <c r="K290" s="160"/>
      <c r="L290" s="150"/>
      <c r="M290" s="727"/>
      <c r="N290" s="720"/>
      <c r="O290" s="810"/>
      <c r="P290" s="720"/>
      <c r="Q290" s="715"/>
      <c r="R290" s="713"/>
      <c r="S290" s="140"/>
      <c r="T290" s="180"/>
      <c r="U290" s="52" t="s">
        <v>467</v>
      </c>
      <c r="V290" s="145"/>
      <c r="W290" s="145"/>
      <c r="X290" s="145"/>
      <c r="Y290" s="99" t="str">
        <f t="shared" si="49"/>
        <v/>
      </c>
      <c r="Z290" s="145"/>
      <c r="AA290" s="99" t="str">
        <f t="shared" si="50"/>
        <v/>
      </c>
      <c r="AB290" s="140"/>
      <c r="AC290" s="99" t="str">
        <f t="shared" si="51"/>
        <v/>
      </c>
      <c r="AD290" s="140"/>
      <c r="AE290" s="99" t="str">
        <f t="shared" si="52"/>
        <v/>
      </c>
      <c r="AF290" s="140"/>
      <c r="AG290" s="99" t="str">
        <f t="shared" si="53"/>
        <v/>
      </c>
      <c r="AH290" s="140"/>
      <c r="AI290" s="99" t="str">
        <f t="shared" si="54"/>
        <v/>
      </c>
      <c r="AJ290" s="140"/>
      <c r="AK290" s="28" t="str">
        <f t="shared" si="55"/>
        <v/>
      </c>
      <c r="AL290" s="111" t="str">
        <f t="shared" si="56"/>
        <v/>
      </c>
      <c r="AM290" s="111" t="str">
        <f t="shared" si="57"/>
        <v/>
      </c>
      <c r="AN290" s="178"/>
      <c r="AO290" s="178"/>
      <c r="AP290" s="178"/>
      <c r="AQ290" s="178"/>
      <c r="AR290" s="178"/>
      <c r="AS290" s="178"/>
      <c r="AT290" s="178"/>
      <c r="AU290" s="179" t="str">
        <f>IFERROR(VLOOKUP(AT290,'Seguridad Información'!$I$61:$J$65,2,0),"")</f>
        <v/>
      </c>
      <c r="AV290" s="83"/>
      <c r="AW290" s="82" t="str">
        <f t="shared" si="48"/>
        <v/>
      </c>
      <c r="AX290" s="81" t="str">
        <f t="shared" si="58"/>
        <v/>
      </c>
      <c r="AY290" s="22" t="str">
        <f>IFERROR(VLOOKUP((CONCATENATE(AM290,AX290)),Listados!$U$3:$V$11,2,FALSE),"")</f>
        <v/>
      </c>
      <c r="AZ290" s="111">
        <f t="shared" si="59"/>
        <v>100</v>
      </c>
      <c r="BA290" s="717"/>
      <c r="BB290" s="761"/>
      <c r="BC290" s="142">
        <f>+IF(AND(W290="Preventivo",BB289="Fuerte"),2,IF(AND(W290="Preventivo",BB289="Moderado"),1,0))</f>
        <v>0</v>
      </c>
      <c r="BD290" s="68">
        <f>+IF(AND(W290="Detectivo/Correctivo",$BB289="Fuerte"),2,IF(AND(W290="Detectivo/Correctivo",$BB290="Moderado"),1,IF(AND(W290="Preventivo",$BB289="Fuerte"),1,0)))</f>
        <v>0</v>
      </c>
      <c r="BE290" s="142" t="e">
        <f>+N289-BC290</f>
        <v>#N/A</v>
      </c>
      <c r="BF290" s="142" t="e">
        <f>+P289-BD290</f>
        <v>#N/A</v>
      </c>
      <c r="BG290" s="713"/>
      <c r="BH290" s="713"/>
      <c r="BI290" s="713"/>
      <c r="BJ290" s="803"/>
      <c r="BK290" s="803"/>
      <c r="BL290" s="803"/>
      <c r="BM290" s="803"/>
    </row>
    <row r="291" spans="1:65" ht="65.150000000000006" customHeight="1" thickBot="1">
      <c r="A291" s="724"/>
      <c r="B291" s="812"/>
      <c r="C291" s="730"/>
      <c r="D291" s="158"/>
      <c r="E291" s="158"/>
      <c r="F291" s="814"/>
      <c r="G291" s="736"/>
      <c r="H291" s="105"/>
      <c r="I291" s="161"/>
      <c r="J291" s="105"/>
      <c r="K291" s="160"/>
      <c r="L291" s="150"/>
      <c r="M291" s="727"/>
      <c r="N291" s="720"/>
      <c r="O291" s="810"/>
      <c r="P291" s="720"/>
      <c r="Q291" s="715"/>
      <c r="R291" s="713"/>
      <c r="S291" s="140"/>
      <c r="T291" s="100"/>
      <c r="U291" s="52" t="s">
        <v>467</v>
      </c>
      <c r="V291" s="145"/>
      <c r="W291" s="145"/>
      <c r="X291" s="145"/>
      <c r="Y291" s="99" t="str">
        <f t="shared" si="49"/>
        <v/>
      </c>
      <c r="Z291" s="145"/>
      <c r="AA291" s="99" t="str">
        <f t="shared" si="50"/>
        <v/>
      </c>
      <c r="AB291" s="140"/>
      <c r="AC291" s="99" t="str">
        <f t="shared" si="51"/>
        <v/>
      </c>
      <c r="AD291" s="140"/>
      <c r="AE291" s="99" t="str">
        <f t="shared" si="52"/>
        <v/>
      </c>
      <c r="AF291" s="140"/>
      <c r="AG291" s="99" t="str">
        <f t="shared" si="53"/>
        <v/>
      </c>
      <c r="AH291" s="140"/>
      <c r="AI291" s="99" t="str">
        <f t="shared" si="54"/>
        <v/>
      </c>
      <c r="AJ291" s="140"/>
      <c r="AK291" s="28" t="str">
        <f t="shared" si="55"/>
        <v/>
      </c>
      <c r="AL291" s="111" t="str">
        <f t="shared" si="56"/>
        <v/>
      </c>
      <c r="AM291" s="111" t="str">
        <f t="shared" si="57"/>
        <v/>
      </c>
      <c r="AN291" s="178"/>
      <c r="AO291" s="178"/>
      <c r="AP291" s="178"/>
      <c r="AQ291" s="178"/>
      <c r="AR291" s="178"/>
      <c r="AS291" s="178"/>
      <c r="AT291" s="178"/>
      <c r="AU291" s="179" t="str">
        <f>IFERROR(VLOOKUP(AT291,'Seguridad Información'!$I$61:$J$65,2,0),"")</f>
        <v/>
      </c>
      <c r="AV291" s="83"/>
      <c r="AW291" s="82" t="str">
        <f t="shared" si="48"/>
        <v/>
      </c>
      <c r="AX291" s="81" t="str">
        <f t="shared" si="58"/>
        <v/>
      </c>
      <c r="AY291" s="22" t="str">
        <f>IFERROR(VLOOKUP((CONCATENATE(AM291,AX291)),Listados!$U$3:$V$11,2,FALSE),"")</f>
        <v/>
      </c>
      <c r="AZ291" s="111">
        <f t="shared" si="59"/>
        <v>100</v>
      </c>
      <c r="BA291" s="717"/>
      <c r="BB291" s="761"/>
      <c r="BC291" s="142">
        <f>+IF(AND(W291="Preventivo",BB289="Fuerte"),2,IF(AND(W291="Preventivo",BB289="Moderado"),1,0))</f>
        <v>0</v>
      </c>
      <c r="BD291" s="68">
        <f>+IF(AND(W291="Detectivo/Correctivo",$BB289="Fuerte"),2,IF(AND(W291="Detectivo/Correctivo",$BB291="Moderado"),1,IF(AND(W291="Preventivo",$BB289="Fuerte"),1,0)))</f>
        <v>0</v>
      </c>
      <c r="BE291" s="142" t="e">
        <f>+N289-BC291</f>
        <v>#N/A</v>
      </c>
      <c r="BF291" s="142" t="e">
        <f>+P289-BD291</f>
        <v>#N/A</v>
      </c>
      <c r="BG291" s="713"/>
      <c r="BH291" s="713"/>
      <c r="BI291" s="713"/>
      <c r="BJ291" s="803"/>
      <c r="BK291" s="803"/>
      <c r="BL291" s="803"/>
      <c r="BM291" s="803"/>
    </row>
    <row r="292" spans="1:65" ht="65.150000000000006" customHeight="1" thickBot="1">
      <c r="A292" s="724"/>
      <c r="B292" s="812"/>
      <c r="C292" s="730"/>
      <c r="D292" s="158"/>
      <c r="E292" s="158"/>
      <c r="F292" s="814"/>
      <c r="G292" s="736"/>
      <c r="H292" s="105"/>
      <c r="I292" s="161"/>
      <c r="J292" s="105"/>
      <c r="K292" s="160"/>
      <c r="L292" s="150"/>
      <c r="M292" s="727"/>
      <c r="N292" s="720"/>
      <c r="O292" s="810"/>
      <c r="P292" s="720"/>
      <c r="Q292" s="715"/>
      <c r="R292" s="713"/>
      <c r="S292" s="140"/>
      <c r="T292" s="101"/>
      <c r="U292" s="52" t="s">
        <v>467</v>
      </c>
      <c r="V292" s="145"/>
      <c r="W292" s="145"/>
      <c r="X292" s="145"/>
      <c r="Y292" s="99" t="str">
        <f t="shared" si="49"/>
        <v/>
      </c>
      <c r="Z292" s="145"/>
      <c r="AA292" s="99" t="str">
        <f t="shared" si="50"/>
        <v/>
      </c>
      <c r="AB292" s="140"/>
      <c r="AC292" s="99" t="str">
        <f t="shared" si="51"/>
        <v/>
      </c>
      <c r="AD292" s="140"/>
      <c r="AE292" s="99" t="str">
        <f t="shared" si="52"/>
        <v/>
      </c>
      <c r="AF292" s="140"/>
      <c r="AG292" s="99" t="str">
        <f t="shared" si="53"/>
        <v/>
      </c>
      <c r="AH292" s="140"/>
      <c r="AI292" s="99" t="str">
        <f t="shared" si="54"/>
        <v/>
      </c>
      <c r="AJ292" s="140"/>
      <c r="AK292" s="28" t="str">
        <f t="shared" si="55"/>
        <v/>
      </c>
      <c r="AL292" s="111" t="str">
        <f t="shared" si="56"/>
        <v/>
      </c>
      <c r="AM292" s="111" t="str">
        <f t="shared" si="57"/>
        <v/>
      </c>
      <c r="AN292" s="178"/>
      <c r="AO292" s="178"/>
      <c r="AP292" s="178"/>
      <c r="AQ292" s="178"/>
      <c r="AR292" s="178"/>
      <c r="AS292" s="178"/>
      <c r="AT292" s="178"/>
      <c r="AU292" s="179" t="str">
        <f>IFERROR(VLOOKUP(AT292,'Seguridad Información'!$I$61:$J$65,2,0),"")</f>
        <v/>
      </c>
      <c r="AV292" s="83"/>
      <c r="AW292" s="82" t="str">
        <f t="shared" si="48"/>
        <v/>
      </c>
      <c r="AX292" s="81" t="str">
        <f t="shared" si="58"/>
        <v/>
      </c>
      <c r="AY292" s="22" t="str">
        <f>IFERROR(VLOOKUP((CONCATENATE(AM292,AX292)),Listados!$U$3:$V$11,2,FALSE),"")</f>
        <v/>
      </c>
      <c r="AZ292" s="111">
        <f t="shared" si="59"/>
        <v>100</v>
      </c>
      <c r="BA292" s="717"/>
      <c r="BB292" s="761"/>
      <c r="BC292" s="142">
        <f>+IF(AND(W292="Preventivo",BB289="Fuerte"),2,IF(AND(W292="Preventivo",BB289="Moderado"),1,0))</f>
        <v>0</v>
      </c>
      <c r="BD292" s="68">
        <f>+IF(AND(W292="Detectivo/Correctivo",$BB289="Fuerte"),2,IF(AND(W292="Detectivo/Correctivo",$BB292="Moderado"),1,IF(AND(W292="Preventivo",$BB289="Fuerte"),1,0)))</f>
        <v>0</v>
      </c>
      <c r="BE292" s="142" t="e">
        <f>+N289-BC292</f>
        <v>#N/A</v>
      </c>
      <c r="BF292" s="142" t="e">
        <f>+P289-BD292</f>
        <v>#N/A</v>
      </c>
      <c r="BG292" s="713"/>
      <c r="BH292" s="713"/>
      <c r="BI292" s="713"/>
      <c r="BJ292" s="803"/>
      <c r="BK292" s="803"/>
      <c r="BL292" s="803"/>
      <c r="BM292" s="803"/>
    </row>
    <row r="293" spans="1:65" ht="65.150000000000006" customHeight="1" thickBot="1">
      <c r="A293" s="724"/>
      <c r="B293" s="812"/>
      <c r="C293" s="730"/>
      <c r="D293" s="116"/>
      <c r="E293" s="116"/>
      <c r="F293" s="814"/>
      <c r="G293" s="736"/>
      <c r="H293" s="105"/>
      <c r="I293" s="161"/>
      <c r="J293" s="105"/>
      <c r="K293" s="29"/>
      <c r="L293" s="150"/>
      <c r="M293" s="727"/>
      <c r="N293" s="720"/>
      <c r="O293" s="810"/>
      <c r="P293" s="720"/>
      <c r="Q293" s="715"/>
      <c r="R293" s="713"/>
      <c r="S293" s="140"/>
      <c r="T293" s="180"/>
      <c r="U293" s="52" t="s">
        <v>467</v>
      </c>
      <c r="V293" s="145"/>
      <c r="W293" s="145"/>
      <c r="X293" s="145"/>
      <c r="Y293" s="99" t="str">
        <f t="shared" si="49"/>
        <v/>
      </c>
      <c r="Z293" s="145"/>
      <c r="AA293" s="99" t="str">
        <f t="shared" si="50"/>
        <v/>
      </c>
      <c r="AB293" s="140"/>
      <c r="AC293" s="99" t="str">
        <f t="shared" si="51"/>
        <v/>
      </c>
      <c r="AD293" s="140"/>
      <c r="AE293" s="99" t="str">
        <f t="shared" si="52"/>
        <v/>
      </c>
      <c r="AF293" s="140"/>
      <c r="AG293" s="99" t="str">
        <f t="shared" si="53"/>
        <v/>
      </c>
      <c r="AH293" s="140"/>
      <c r="AI293" s="99" t="str">
        <f t="shared" si="54"/>
        <v/>
      </c>
      <c r="AJ293" s="140"/>
      <c r="AK293" s="28" t="str">
        <f t="shared" si="55"/>
        <v/>
      </c>
      <c r="AL293" s="111" t="str">
        <f t="shared" si="56"/>
        <v/>
      </c>
      <c r="AM293" s="111" t="str">
        <f t="shared" si="57"/>
        <v/>
      </c>
      <c r="AN293" s="178"/>
      <c r="AO293" s="178"/>
      <c r="AP293" s="178"/>
      <c r="AQ293" s="178"/>
      <c r="AR293" s="178"/>
      <c r="AS293" s="178"/>
      <c r="AT293" s="178"/>
      <c r="AU293" s="179" t="str">
        <f>IFERROR(VLOOKUP(AT293,'Seguridad Información'!$I$61:$J$65,2,0),"")</f>
        <v/>
      </c>
      <c r="AV293" s="83"/>
      <c r="AW293" s="82" t="str">
        <f t="shared" si="48"/>
        <v/>
      </c>
      <c r="AX293" s="81" t="str">
        <f t="shared" si="58"/>
        <v/>
      </c>
      <c r="AY293" s="22" t="str">
        <f>IFERROR(VLOOKUP((CONCATENATE(AM293,AX293)),Listados!$U$3:$V$11,2,FALSE),"")</f>
        <v/>
      </c>
      <c r="AZ293" s="111">
        <f t="shared" si="59"/>
        <v>100</v>
      </c>
      <c r="BA293" s="717"/>
      <c r="BB293" s="761"/>
      <c r="BC293" s="142">
        <f>+IF(AND(W293="Preventivo",BB289="Fuerte"),2,IF(AND(W293="Preventivo",BB289="Moderado"),1,0))</f>
        <v>0</v>
      </c>
      <c r="BD293" s="68">
        <f>+IF(AND(W293="Detectivo/Correctivo",$BB289="Fuerte"),2,IF(AND(W293="Detectivo/Correctivo",$BB293="Moderado"),1,IF(AND(W293="Preventivo",$BB289="Fuerte"),1,0)))</f>
        <v>0</v>
      </c>
      <c r="BE293" s="142" t="e">
        <f>+N289-BC293</f>
        <v>#N/A</v>
      </c>
      <c r="BF293" s="142" t="e">
        <f>+P289-BD293</f>
        <v>#N/A</v>
      </c>
      <c r="BG293" s="713"/>
      <c r="BH293" s="713"/>
      <c r="BI293" s="713"/>
      <c r="BJ293" s="803"/>
      <c r="BK293" s="803"/>
      <c r="BL293" s="803"/>
      <c r="BM293" s="803"/>
    </row>
    <row r="294" spans="1:65" ht="65.150000000000006" customHeight="1" thickBot="1">
      <c r="A294" s="725"/>
      <c r="B294" s="812"/>
      <c r="C294" s="731"/>
      <c r="D294" s="113"/>
      <c r="E294" s="113"/>
      <c r="F294" s="815"/>
      <c r="G294" s="781"/>
      <c r="H294" s="105"/>
      <c r="I294" s="161"/>
      <c r="J294" s="105"/>
      <c r="K294" s="30"/>
      <c r="L294" s="150"/>
      <c r="M294" s="727"/>
      <c r="N294" s="721"/>
      <c r="O294" s="810"/>
      <c r="P294" s="721"/>
      <c r="Q294" s="715"/>
      <c r="R294" s="714"/>
      <c r="S294" s="140"/>
      <c r="T294" s="102"/>
      <c r="U294" s="52" t="s">
        <v>467</v>
      </c>
      <c r="V294" s="145"/>
      <c r="W294" s="145"/>
      <c r="X294" s="145"/>
      <c r="Y294" s="99" t="str">
        <f t="shared" si="49"/>
        <v/>
      </c>
      <c r="Z294" s="145"/>
      <c r="AA294" s="99" t="str">
        <f t="shared" si="50"/>
        <v/>
      </c>
      <c r="AB294" s="140"/>
      <c r="AC294" s="99" t="str">
        <f t="shared" si="51"/>
        <v/>
      </c>
      <c r="AD294" s="140"/>
      <c r="AE294" s="99" t="str">
        <f t="shared" si="52"/>
        <v/>
      </c>
      <c r="AF294" s="140"/>
      <c r="AG294" s="99" t="str">
        <f t="shared" si="53"/>
        <v/>
      </c>
      <c r="AH294" s="140"/>
      <c r="AI294" s="99" t="str">
        <f t="shared" si="54"/>
        <v/>
      </c>
      <c r="AJ294" s="140"/>
      <c r="AK294" s="28" t="str">
        <f t="shared" si="55"/>
        <v/>
      </c>
      <c r="AL294" s="111" t="str">
        <f t="shared" si="56"/>
        <v/>
      </c>
      <c r="AM294" s="111" t="str">
        <f t="shared" si="57"/>
        <v/>
      </c>
      <c r="AN294" s="178"/>
      <c r="AO294" s="178"/>
      <c r="AP294" s="178"/>
      <c r="AQ294" s="178"/>
      <c r="AR294" s="178"/>
      <c r="AS294" s="178"/>
      <c r="AT294" s="178"/>
      <c r="AU294" s="179" t="str">
        <f>IFERROR(VLOOKUP(AT294,'Seguridad Información'!$I$61:$J$65,2,0),"")</f>
        <v/>
      </c>
      <c r="AV294" s="83"/>
      <c r="AW294" s="82" t="str">
        <f t="shared" si="48"/>
        <v/>
      </c>
      <c r="AX294" s="81" t="str">
        <f t="shared" si="58"/>
        <v/>
      </c>
      <c r="AY294" s="22" t="str">
        <f>IFERROR(VLOOKUP((CONCATENATE(AM294,AX294)),Listados!$U$3:$V$11,2,FALSE),"")</f>
        <v/>
      </c>
      <c r="AZ294" s="111">
        <f t="shared" si="59"/>
        <v>100</v>
      </c>
      <c r="BA294" s="718"/>
      <c r="BB294" s="761"/>
      <c r="BC294" s="142">
        <f>+IF(AND(W294="Preventivo",BB289="Fuerte"),2,IF(AND(W294="Preventivo",BB289="Moderado"),1,0))</f>
        <v>0</v>
      </c>
      <c r="BD294" s="68">
        <f>+IF(AND(W294="Detectivo/Correctivo",$BB289="Fuerte"),2,IF(AND(W294="Detectivo/Correctivo",$BB294="Moderado"),1,IF(AND(W294="Preventivo",$BB289="Fuerte"),1,0)))</f>
        <v>0</v>
      </c>
      <c r="BE294" s="142" t="e">
        <f>+N289-BC294</f>
        <v>#N/A</v>
      </c>
      <c r="BF294" s="142" t="e">
        <f>+P289-BD294</f>
        <v>#N/A</v>
      </c>
      <c r="BG294" s="714"/>
      <c r="BH294" s="714"/>
      <c r="BI294" s="714"/>
      <c r="BJ294" s="804"/>
      <c r="BK294" s="804"/>
      <c r="BL294" s="804"/>
      <c r="BM294" s="804"/>
    </row>
    <row r="295" spans="1:65" ht="65.150000000000006" customHeight="1" thickBot="1">
      <c r="A295" s="723">
        <v>49</v>
      </c>
      <c r="B295" s="811"/>
      <c r="C295" s="729" t="str">
        <f>IFERROR(VLOOKUP(B295,Listados!B$3:C$20,2,FALSE),"")</f>
        <v/>
      </c>
      <c r="D295" s="114"/>
      <c r="E295" s="114"/>
      <c r="F295" s="813"/>
      <c r="G295" s="735"/>
      <c r="H295" s="105"/>
      <c r="I295" s="161"/>
      <c r="J295" s="105"/>
      <c r="K295" s="109"/>
      <c r="L295" s="18"/>
      <c r="M295" s="762"/>
      <c r="N295" s="719" t="e">
        <f>+VLOOKUP(M295,Listados!$K$8:$L$12,2,0)</f>
        <v>#N/A</v>
      </c>
      <c r="O295" s="809"/>
      <c r="P295" s="719" t="e">
        <f>+VLOOKUP(O295,Listados!$K$13:$L$17,2,0)</f>
        <v>#N/A</v>
      </c>
      <c r="Q295" s="714" t="str">
        <f>IF(AND(M295&lt;&gt;"",O295&lt;&gt;""),VLOOKUP(M295&amp;O295,Listados!$M$3:$N$27,2,FALSE),"")</f>
        <v/>
      </c>
      <c r="R295" s="712" t="e">
        <f>+VLOOKUP(Q295,Listados!$P$3:$Q$6,2,FALSE)</f>
        <v>#N/A</v>
      </c>
      <c r="S295" s="140"/>
      <c r="T295" s="98"/>
      <c r="U295" s="52" t="s">
        <v>467</v>
      </c>
      <c r="V295" s="145"/>
      <c r="W295" s="145"/>
      <c r="X295" s="145"/>
      <c r="Y295" s="99" t="str">
        <f t="shared" si="49"/>
        <v/>
      </c>
      <c r="Z295" s="145"/>
      <c r="AA295" s="99" t="str">
        <f t="shared" si="50"/>
        <v/>
      </c>
      <c r="AB295" s="140"/>
      <c r="AC295" s="99" t="str">
        <f t="shared" si="51"/>
        <v/>
      </c>
      <c r="AD295" s="140"/>
      <c r="AE295" s="99" t="str">
        <f t="shared" si="52"/>
        <v/>
      </c>
      <c r="AF295" s="140"/>
      <c r="AG295" s="99" t="str">
        <f t="shared" si="53"/>
        <v/>
      </c>
      <c r="AH295" s="140"/>
      <c r="AI295" s="99" t="str">
        <f t="shared" si="54"/>
        <v/>
      </c>
      <c r="AJ295" s="140"/>
      <c r="AK295" s="28" t="str">
        <f t="shared" si="55"/>
        <v/>
      </c>
      <c r="AL295" s="111" t="str">
        <f t="shared" si="56"/>
        <v/>
      </c>
      <c r="AM295" s="111" t="str">
        <f t="shared" si="57"/>
        <v/>
      </c>
      <c r="AN295" s="178"/>
      <c r="AO295" s="178"/>
      <c r="AP295" s="178"/>
      <c r="AQ295" s="178"/>
      <c r="AR295" s="178"/>
      <c r="AS295" s="178"/>
      <c r="AT295" s="178"/>
      <c r="AU295" s="179" t="str">
        <f>IFERROR(VLOOKUP(AT295,'Seguridad Información'!$I$61:$J$65,2,0),"")</f>
        <v/>
      </c>
      <c r="AV295" s="83"/>
      <c r="AW295" s="82" t="str">
        <f t="shared" si="48"/>
        <v/>
      </c>
      <c r="AX295" s="81" t="str">
        <f t="shared" si="58"/>
        <v/>
      </c>
      <c r="AY295" s="22" t="str">
        <f>IFERROR(VLOOKUP((CONCATENATE(AM295,AX295)),Listados!$U$3:$V$11,2,FALSE),"")</f>
        <v/>
      </c>
      <c r="AZ295" s="111">
        <f t="shared" si="59"/>
        <v>100</v>
      </c>
      <c r="BA295" s="716">
        <f>AVERAGE(AZ295:AZ300)</f>
        <v>100</v>
      </c>
      <c r="BB295" s="718" t="str">
        <f>IF(BA295&lt;=50, "Débil", IF(BA295&lt;=99,"Moderado","Fuerte"))</f>
        <v>Fuerte</v>
      </c>
      <c r="BC295" s="142">
        <f>+IF(AND(W295="Preventivo",BB295="Fuerte"),2,IF(AND(W295="Preventivo",BB295="Moderado"),1,0))</f>
        <v>0</v>
      </c>
      <c r="BD295" s="68">
        <f>+IF(AND(W295="Detectivo/Correctivo",$BB295="Fuerte"),2,IF(AND(W295="Detectivo/Correctivo",$BB295="Moderado"),1,IF(AND(W295="Preventivo",$BB295="Fuerte"),1,0)))</f>
        <v>0</v>
      </c>
      <c r="BE295" s="142" t="e">
        <f>+N295-BC295</f>
        <v>#N/A</v>
      </c>
      <c r="BF295" s="142" t="e">
        <f>+P295-BD295</f>
        <v>#N/A</v>
      </c>
      <c r="BG295" s="712" t="e">
        <f>+VLOOKUP(MIN(BE295,BE296,BE297,BE298,BE299,BE300),Listados!$J$18:$K$24,2,TRUE)</f>
        <v>#N/A</v>
      </c>
      <c r="BH295" s="712" t="e">
        <f>+VLOOKUP(MIN(BF295,BF296,BF297,BF298,BF299,BF300),Listados!$J$27:$K$32,2,TRUE)</f>
        <v>#N/A</v>
      </c>
      <c r="BI295" s="712" t="e">
        <f>IF(AND(BG295&lt;&gt;"",BH295&lt;&gt;""),VLOOKUP(BG295&amp;BH295,Listados!$M$3:$N$27,2,FALSE),"")</f>
        <v>#N/A</v>
      </c>
      <c r="BJ295" s="802" t="e">
        <f>+IF($R295="Asumir el riesgo","NA","")</f>
        <v>#N/A</v>
      </c>
      <c r="BK295" s="802" t="e">
        <f>+IF($R295="Asumir el riesgo","NA","")</f>
        <v>#N/A</v>
      </c>
      <c r="BL295" s="802" t="e">
        <f>+IF($R295="Asumir el riesgo","NA","")</f>
        <v>#N/A</v>
      </c>
      <c r="BM295" s="802" t="e">
        <f>+IF($R295="Asumir el riesgo","NA","")</f>
        <v>#N/A</v>
      </c>
    </row>
    <row r="296" spans="1:65" ht="65.150000000000006" customHeight="1" thickBot="1">
      <c r="A296" s="724"/>
      <c r="B296" s="812"/>
      <c r="C296" s="730"/>
      <c r="D296" s="158"/>
      <c r="E296" s="158"/>
      <c r="F296" s="814"/>
      <c r="G296" s="736"/>
      <c r="H296" s="105"/>
      <c r="I296" s="161"/>
      <c r="J296" s="105"/>
      <c r="K296" s="160"/>
      <c r="L296" s="150"/>
      <c r="M296" s="727"/>
      <c r="N296" s="720"/>
      <c r="O296" s="810"/>
      <c r="P296" s="720"/>
      <c r="Q296" s="715"/>
      <c r="R296" s="713"/>
      <c r="S296" s="140"/>
      <c r="T296" s="180"/>
      <c r="U296" s="52" t="s">
        <v>467</v>
      </c>
      <c r="V296" s="145"/>
      <c r="W296" s="145"/>
      <c r="X296" s="145"/>
      <c r="Y296" s="99" t="str">
        <f t="shared" si="49"/>
        <v/>
      </c>
      <c r="Z296" s="145"/>
      <c r="AA296" s="99" t="str">
        <f t="shared" si="50"/>
        <v/>
      </c>
      <c r="AB296" s="140"/>
      <c r="AC296" s="99" t="str">
        <f t="shared" si="51"/>
        <v/>
      </c>
      <c r="AD296" s="140"/>
      <c r="AE296" s="99" t="str">
        <f t="shared" si="52"/>
        <v/>
      </c>
      <c r="AF296" s="140"/>
      <c r="AG296" s="99" t="str">
        <f t="shared" si="53"/>
        <v/>
      </c>
      <c r="AH296" s="140"/>
      <c r="AI296" s="99" t="str">
        <f t="shared" si="54"/>
        <v/>
      </c>
      <c r="AJ296" s="140"/>
      <c r="AK296" s="28" t="str">
        <f t="shared" si="55"/>
        <v/>
      </c>
      <c r="AL296" s="111" t="str">
        <f t="shared" si="56"/>
        <v/>
      </c>
      <c r="AM296" s="111" t="str">
        <f t="shared" si="57"/>
        <v/>
      </c>
      <c r="AN296" s="178"/>
      <c r="AO296" s="178"/>
      <c r="AP296" s="178"/>
      <c r="AQ296" s="178"/>
      <c r="AR296" s="178"/>
      <c r="AS296" s="178"/>
      <c r="AT296" s="178"/>
      <c r="AU296" s="179" t="str">
        <f>IFERROR(VLOOKUP(AT296,'Seguridad Información'!$I$61:$J$65,2,0),"")</f>
        <v/>
      </c>
      <c r="AV296" s="83"/>
      <c r="AW296" s="82" t="str">
        <f t="shared" si="48"/>
        <v/>
      </c>
      <c r="AX296" s="81" t="str">
        <f t="shared" si="58"/>
        <v/>
      </c>
      <c r="AY296" s="22" t="str">
        <f>IFERROR(VLOOKUP((CONCATENATE(AM296,AX296)),Listados!$U$3:$V$11,2,FALSE),"")</f>
        <v/>
      </c>
      <c r="AZ296" s="111">
        <f t="shared" si="59"/>
        <v>100</v>
      </c>
      <c r="BA296" s="717"/>
      <c r="BB296" s="761"/>
      <c r="BC296" s="142">
        <f>+IF(AND(W296="Preventivo",BB295="Fuerte"),2,IF(AND(W296="Preventivo",BB295="Moderado"),1,0))</f>
        <v>0</v>
      </c>
      <c r="BD296" s="68">
        <f>+IF(AND(W296="Detectivo/Correctivo",$BB295="Fuerte"),2,IF(AND(W296="Detectivo/Correctivo",$BB296="Moderado"),1,IF(AND(W296="Preventivo",$BB295="Fuerte"),1,0)))</f>
        <v>0</v>
      </c>
      <c r="BE296" s="142" t="e">
        <f>+N295-BC296</f>
        <v>#N/A</v>
      </c>
      <c r="BF296" s="142" t="e">
        <f>+P295-BD296</f>
        <v>#N/A</v>
      </c>
      <c r="BG296" s="713"/>
      <c r="BH296" s="713"/>
      <c r="BI296" s="713"/>
      <c r="BJ296" s="803"/>
      <c r="BK296" s="803"/>
      <c r="BL296" s="803"/>
      <c r="BM296" s="803"/>
    </row>
    <row r="297" spans="1:65" ht="65.150000000000006" customHeight="1" thickBot="1">
      <c r="A297" s="724"/>
      <c r="B297" s="812"/>
      <c r="C297" s="730"/>
      <c r="D297" s="158"/>
      <c r="E297" s="158"/>
      <c r="F297" s="814"/>
      <c r="G297" s="736"/>
      <c r="H297" s="105"/>
      <c r="I297" s="161"/>
      <c r="J297" s="105"/>
      <c r="K297" s="160"/>
      <c r="L297" s="150"/>
      <c r="M297" s="727"/>
      <c r="N297" s="720"/>
      <c r="O297" s="810"/>
      <c r="P297" s="720"/>
      <c r="Q297" s="715"/>
      <c r="R297" s="713"/>
      <c r="S297" s="140"/>
      <c r="T297" s="100"/>
      <c r="U297" s="52" t="s">
        <v>467</v>
      </c>
      <c r="V297" s="145"/>
      <c r="W297" s="145"/>
      <c r="X297" s="145"/>
      <c r="Y297" s="99" t="str">
        <f t="shared" si="49"/>
        <v/>
      </c>
      <c r="Z297" s="145"/>
      <c r="AA297" s="99" t="str">
        <f t="shared" si="50"/>
        <v/>
      </c>
      <c r="AB297" s="140"/>
      <c r="AC297" s="99" t="str">
        <f t="shared" si="51"/>
        <v/>
      </c>
      <c r="AD297" s="140"/>
      <c r="AE297" s="99" t="str">
        <f t="shared" si="52"/>
        <v/>
      </c>
      <c r="AF297" s="140"/>
      <c r="AG297" s="99" t="str">
        <f t="shared" si="53"/>
        <v/>
      </c>
      <c r="AH297" s="140"/>
      <c r="AI297" s="99" t="str">
        <f t="shared" si="54"/>
        <v/>
      </c>
      <c r="AJ297" s="140"/>
      <c r="AK297" s="28" t="str">
        <f t="shared" si="55"/>
        <v/>
      </c>
      <c r="AL297" s="111" t="str">
        <f t="shared" si="56"/>
        <v/>
      </c>
      <c r="AM297" s="111" t="str">
        <f t="shared" si="57"/>
        <v/>
      </c>
      <c r="AN297" s="178"/>
      <c r="AO297" s="178"/>
      <c r="AP297" s="178"/>
      <c r="AQ297" s="178"/>
      <c r="AR297" s="178"/>
      <c r="AS297" s="178"/>
      <c r="AT297" s="178"/>
      <c r="AU297" s="179" t="str">
        <f>IFERROR(VLOOKUP(AT297,'Seguridad Información'!$I$61:$J$65,2,0),"")</f>
        <v/>
      </c>
      <c r="AV297" s="83"/>
      <c r="AW297" s="82" t="str">
        <f t="shared" si="48"/>
        <v/>
      </c>
      <c r="AX297" s="81" t="str">
        <f t="shared" si="58"/>
        <v/>
      </c>
      <c r="AY297" s="22" t="str">
        <f>IFERROR(VLOOKUP((CONCATENATE(AM297,AX297)),Listados!$U$3:$V$11,2,FALSE),"")</f>
        <v/>
      </c>
      <c r="AZ297" s="111">
        <f t="shared" si="59"/>
        <v>100</v>
      </c>
      <c r="BA297" s="717"/>
      <c r="BB297" s="761"/>
      <c r="BC297" s="142">
        <f>+IF(AND(W297="Preventivo",BB295="Fuerte"),2,IF(AND(W297="Preventivo",BB295="Moderado"),1,0))</f>
        <v>0</v>
      </c>
      <c r="BD297" s="68">
        <f>+IF(AND(W297="Detectivo/Correctivo",$BB295="Fuerte"),2,IF(AND(W297="Detectivo/Correctivo",$BB297="Moderado"),1,IF(AND(W297="Preventivo",$BB295="Fuerte"),1,0)))</f>
        <v>0</v>
      </c>
      <c r="BE297" s="142" t="e">
        <f>+N295-BC297</f>
        <v>#N/A</v>
      </c>
      <c r="BF297" s="142" t="e">
        <f>+P295-BD297</f>
        <v>#N/A</v>
      </c>
      <c r="BG297" s="713"/>
      <c r="BH297" s="713"/>
      <c r="BI297" s="713"/>
      <c r="BJ297" s="803"/>
      <c r="BK297" s="803"/>
      <c r="BL297" s="803"/>
      <c r="BM297" s="803"/>
    </row>
    <row r="298" spans="1:65" ht="65.150000000000006" customHeight="1" thickBot="1">
      <c r="A298" s="724"/>
      <c r="B298" s="812"/>
      <c r="C298" s="730"/>
      <c r="D298" s="158"/>
      <c r="E298" s="158"/>
      <c r="F298" s="814"/>
      <c r="G298" s="736"/>
      <c r="H298" s="105"/>
      <c r="I298" s="161"/>
      <c r="J298" s="105"/>
      <c r="K298" s="160"/>
      <c r="L298" s="150"/>
      <c r="M298" s="727"/>
      <c r="N298" s="720"/>
      <c r="O298" s="810"/>
      <c r="P298" s="720"/>
      <c r="Q298" s="715"/>
      <c r="R298" s="713"/>
      <c r="S298" s="140"/>
      <c r="T298" s="101"/>
      <c r="U298" s="52" t="s">
        <v>467</v>
      </c>
      <c r="V298" s="145"/>
      <c r="W298" s="145"/>
      <c r="X298" s="145"/>
      <c r="Y298" s="99" t="str">
        <f t="shared" si="49"/>
        <v/>
      </c>
      <c r="Z298" s="145"/>
      <c r="AA298" s="99" t="str">
        <f t="shared" si="50"/>
        <v/>
      </c>
      <c r="AB298" s="140"/>
      <c r="AC298" s="99" t="str">
        <f t="shared" si="51"/>
        <v/>
      </c>
      <c r="AD298" s="140"/>
      <c r="AE298" s="99" t="str">
        <f t="shared" si="52"/>
        <v/>
      </c>
      <c r="AF298" s="140"/>
      <c r="AG298" s="99" t="str">
        <f t="shared" si="53"/>
        <v/>
      </c>
      <c r="AH298" s="140"/>
      <c r="AI298" s="99" t="str">
        <f t="shared" si="54"/>
        <v/>
      </c>
      <c r="AJ298" s="140"/>
      <c r="AK298" s="28" t="str">
        <f t="shared" si="55"/>
        <v/>
      </c>
      <c r="AL298" s="111" t="str">
        <f t="shared" si="56"/>
        <v/>
      </c>
      <c r="AM298" s="111" t="str">
        <f t="shared" si="57"/>
        <v/>
      </c>
      <c r="AN298" s="178"/>
      <c r="AO298" s="178"/>
      <c r="AP298" s="178"/>
      <c r="AQ298" s="178"/>
      <c r="AR298" s="178"/>
      <c r="AS298" s="178"/>
      <c r="AT298" s="178"/>
      <c r="AU298" s="179" t="str">
        <f>IFERROR(VLOOKUP(AT298,'Seguridad Información'!$I$61:$J$65,2,0),"")</f>
        <v/>
      </c>
      <c r="AV298" s="83"/>
      <c r="AW298" s="82" t="str">
        <f t="shared" si="48"/>
        <v/>
      </c>
      <c r="AX298" s="81" t="str">
        <f t="shared" si="58"/>
        <v/>
      </c>
      <c r="AY298" s="22" t="str">
        <f>IFERROR(VLOOKUP((CONCATENATE(AM298,AX298)),Listados!$U$3:$V$11,2,FALSE),"")</f>
        <v/>
      </c>
      <c r="AZ298" s="111">
        <f t="shared" si="59"/>
        <v>100</v>
      </c>
      <c r="BA298" s="717"/>
      <c r="BB298" s="761"/>
      <c r="BC298" s="142">
        <f>+IF(AND(W298="Preventivo",BB295="Fuerte"),2,IF(AND(W298="Preventivo",BB295="Moderado"),1,0))</f>
        <v>0</v>
      </c>
      <c r="BD298" s="68">
        <f>+IF(AND(W298="Detectivo/Correctivo",$BB295="Fuerte"),2,IF(AND(W298="Detectivo/Correctivo",$BB298="Moderado"),1,IF(AND(W298="Preventivo",$BB295="Fuerte"),1,0)))</f>
        <v>0</v>
      </c>
      <c r="BE298" s="142" t="e">
        <f>+N295-BC298</f>
        <v>#N/A</v>
      </c>
      <c r="BF298" s="142" t="e">
        <f>+P295-BD298</f>
        <v>#N/A</v>
      </c>
      <c r="BG298" s="713"/>
      <c r="BH298" s="713"/>
      <c r="BI298" s="713"/>
      <c r="BJ298" s="803"/>
      <c r="BK298" s="803"/>
      <c r="BL298" s="803"/>
      <c r="BM298" s="803"/>
    </row>
    <row r="299" spans="1:65" ht="65.150000000000006" customHeight="1" thickBot="1">
      <c r="A299" s="724"/>
      <c r="B299" s="812"/>
      <c r="C299" s="730"/>
      <c r="D299" s="116"/>
      <c r="E299" s="116"/>
      <c r="F299" s="814"/>
      <c r="G299" s="736"/>
      <c r="H299" s="105"/>
      <c r="I299" s="161"/>
      <c r="J299" s="105"/>
      <c r="K299" s="29"/>
      <c r="L299" s="150"/>
      <c r="M299" s="727"/>
      <c r="N299" s="720"/>
      <c r="O299" s="810"/>
      <c r="P299" s="720"/>
      <c r="Q299" s="715"/>
      <c r="R299" s="713"/>
      <c r="S299" s="140"/>
      <c r="T299" s="180"/>
      <c r="U299" s="52" t="s">
        <v>467</v>
      </c>
      <c r="V299" s="145"/>
      <c r="W299" s="145"/>
      <c r="X299" s="145"/>
      <c r="Y299" s="99" t="str">
        <f t="shared" si="49"/>
        <v/>
      </c>
      <c r="Z299" s="145"/>
      <c r="AA299" s="99" t="str">
        <f t="shared" si="50"/>
        <v/>
      </c>
      <c r="AB299" s="140"/>
      <c r="AC299" s="99" t="str">
        <f t="shared" si="51"/>
        <v/>
      </c>
      <c r="AD299" s="140"/>
      <c r="AE299" s="99" t="str">
        <f t="shared" si="52"/>
        <v/>
      </c>
      <c r="AF299" s="140"/>
      <c r="AG299" s="99" t="str">
        <f t="shared" si="53"/>
        <v/>
      </c>
      <c r="AH299" s="140"/>
      <c r="AI299" s="99" t="str">
        <f t="shared" si="54"/>
        <v/>
      </c>
      <c r="AJ299" s="140"/>
      <c r="AK299" s="28" t="str">
        <f t="shared" si="55"/>
        <v/>
      </c>
      <c r="AL299" s="111" t="str">
        <f t="shared" si="56"/>
        <v/>
      </c>
      <c r="AM299" s="111" t="str">
        <f t="shared" si="57"/>
        <v/>
      </c>
      <c r="AN299" s="178"/>
      <c r="AO299" s="178"/>
      <c r="AP299" s="178"/>
      <c r="AQ299" s="178"/>
      <c r="AR299" s="178"/>
      <c r="AS299" s="178"/>
      <c r="AT299" s="178"/>
      <c r="AU299" s="179" t="str">
        <f>IFERROR(VLOOKUP(AT299,'Seguridad Información'!$I$61:$J$65,2,0),"")</f>
        <v/>
      </c>
      <c r="AV299" s="83"/>
      <c r="AW299" s="82" t="str">
        <f t="shared" si="48"/>
        <v/>
      </c>
      <c r="AX299" s="81" t="str">
        <f t="shared" si="58"/>
        <v/>
      </c>
      <c r="AY299" s="22" t="str">
        <f>IFERROR(VLOOKUP((CONCATENATE(AM299,AX299)),Listados!$U$3:$V$11,2,FALSE),"")</f>
        <v/>
      </c>
      <c r="AZ299" s="111">
        <f t="shared" si="59"/>
        <v>100</v>
      </c>
      <c r="BA299" s="717"/>
      <c r="BB299" s="761"/>
      <c r="BC299" s="142">
        <f>+IF(AND(W299="Preventivo",BB295="Fuerte"),2,IF(AND(W299="Preventivo",BB295="Moderado"),1,0))</f>
        <v>0</v>
      </c>
      <c r="BD299" s="68">
        <f>+IF(AND(W299="Detectivo/Correctivo",$BB295="Fuerte"),2,IF(AND(W299="Detectivo/Correctivo",$BB299="Moderado"),1,IF(AND(W299="Preventivo",$BB295="Fuerte"),1,0)))</f>
        <v>0</v>
      </c>
      <c r="BE299" s="142" t="e">
        <f>+N295-BC299</f>
        <v>#N/A</v>
      </c>
      <c r="BF299" s="142" t="e">
        <f>+P295-BD299</f>
        <v>#N/A</v>
      </c>
      <c r="BG299" s="713"/>
      <c r="BH299" s="713"/>
      <c r="BI299" s="713"/>
      <c r="BJ299" s="803"/>
      <c r="BK299" s="803"/>
      <c r="BL299" s="803"/>
      <c r="BM299" s="803"/>
    </row>
    <row r="300" spans="1:65" ht="65.150000000000006" customHeight="1" thickBot="1">
      <c r="A300" s="725"/>
      <c r="B300" s="812"/>
      <c r="C300" s="731"/>
      <c r="D300" s="113"/>
      <c r="E300" s="113"/>
      <c r="F300" s="815"/>
      <c r="G300" s="781"/>
      <c r="H300" s="105"/>
      <c r="I300" s="161"/>
      <c r="J300" s="105"/>
      <c r="K300" s="30"/>
      <c r="L300" s="150"/>
      <c r="M300" s="727"/>
      <c r="N300" s="721"/>
      <c r="O300" s="810"/>
      <c r="P300" s="721"/>
      <c r="Q300" s="715"/>
      <c r="R300" s="714"/>
      <c r="S300" s="140"/>
      <c r="T300" s="102"/>
      <c r="U300" s="52" t="s">
        <v>467</v>
      </c>
      <c r="V300" s="145"/>
      <c r="W300" s="145"/>
      <c r="X300" s="145"/>
      <c r="Y300" s="99" t="str">
        <f t="shared" si="49"/>
        <v/>
      </c>
      <c r="Z300" s="145"/>
      <c r="AA300" s="99" t="str">
        <f t="shared" si="50"/>
        <v/>
      </c>
      <c r="AB300" s="140"/>
      <c r="AC300" s="99" t="str">
        <f t="shared" si="51"/>
        <v/>
      </c>
      <c r="AD300" s="140"/>
      <c r="AE300" s="99" t="str">
        <f t="shared" si="52"/>
        <v/>
      </c>
      <c r="AF300" s="140"/>
      <c r="AG300" s="99" t="str">
        <f t="shared" si="53"/>
        <v/>
      </c>
      <c r="AH300" s="140"/>
      <c r="AI300" s="99" t="str">
        <f t="shared" si="54"/>
        <v/>
      </c>
      <c r="AJ300" s="140"/>
      <c r="AK300" s="28" t="str">
        <f t="shared" si="55"/>
        <v/>
      </c>
      <c r="AL300" s="111" t="str">
        <f t="shared" si="56"/>
        <v/>
      </c>
      <c r="AM300" s="111" t="str">
        <f t="shared" si="57"/>
        <v/>
      </c>
      <c r="AN300" s="178"/>
      <c r="AO300" s="178"/>
      <c r="AP300" s="178"/>
      <c r="AQ300" s="178"/>
      <c r="AR300" s="178"/>
      <c r="AS300" s="178"/>
      <c r="AT300" s="178"/>
      <c r="AU300" s="179" t="str">
        <f>IFERROR(VLOOKUP(AT300,'Seguridad Información'!$I$61:$J$65,2,0),"")</f>
        <v/>
      </c>
      <c r="AV300" s="83"/>
      <c r="AW300" s="82" t="str">
        <f t="shared" si="48"/>
        <v/>
      </c>
      <c r="AX300" s="81" t="str">
        <f t="shared" si="58"/>
        <v/>
      </c>
      <c r="AY300" s="22" t="str">
        <f>IFERROR(VLOOKUP((CONCATENATE(AM300,AX300)),Listados!$U$3:$V$11,2,FALSE),"")</f>
        <v/>
      </c>
      <c r="AZ300" s="111">
        <f t="shared" si="59"/>
        <v>100</v>
      </c>
      <c r="BA300" s="718"/>
      <c r="BB300" s="761"/>
      <c r="BC300" s="142">
        <f>+IF(AND(W300="Preventivo",BB295="Fuerte"),2,IF(AND(W300="Preventivo",BB295="Moderado"),1,0))</f>
        <v>0</v>
      </c>
      <c r="BD300" s="68">
        <f>+IF(AND(W300="Detectivo/Correctivo",$BB295="Fuerte"),2,IF(AND(W300="Detectivo/Correctivo",$BB300="Moderado"),1,IF(AND(W300="Preventivo",$BB295="Fuerte"),1,0)))</f>
        <v>0</v>
      </c>
      <c r="BE300" s="142" t="e">
        <f>+N295-BC300</f>
        <v>#N/A</v>
      </c>
      <c r="BF300" s="142" t="e">
        <f>+P295-BD300</f>
        <v>#N/A</v>
      </c>
      <c r="BG300" s="714"/>
      <c r="BH300" s="714"/>
      <c r="BI300" s="714"/>
      <c r="BJ300" s="804"/>
      <c r="BK300" s="804"/>
      <c r="BL300" s="804"/>
      <c r="BM300" s="804"/>
    </row>
    <row r="301" spans="1:65" ht="65.150000000000006" customHeight="1" thickBot="1">
      <c r="A301" s="723">
        <v>50</v>
      </c>
      <c r="B301" s="811"/>
      <c r="C301" s="729" t="str">
        <f>IFERROR(VLOOKUP(B301,Listados!B$3:C$20,2,FALSE),"")</f>
        <v/>
      </c>
      <c r="D301" s="114"/>
      <c r="E301" s="114"/>
      <c r="F301" s="813"/>
      <c r="G301" s="735"/>
      <c r="H301" s="105"/>
      <c r="I301" s="161"/>
      <c r="J301" s="105"/>
      <c r="K301" s="109"/>
      <c r="L301" s="18"/>
      <c r="M301" s="762"/>
      <c r="N301" s="719" t="e">
        <f>+VLOOKUP(M301,Listados!$K$8:$L$12,2,0)</f>
        <v>#N/A</v>
      </c>
      <c r="O301" s="809"/>
      <c r="P301" s="719" t="e">
        <f>+VLOOKUP(O301,Listados!$K$13:$L$17,2,0)</f>
        <v>#N/A</v>
      </c>
      <c r="Q301" s="714" t="str">
        <f>IF(AND(M301&lt;&gt;"",O301&lt;&gt;""),VLOOKUP(M301&amp;O301,Listados!$M$3:$N$27,2,FALSE),"")</f>
        <v/>
      </c>
      <c r="R301" s="712" t="e">
        <f>+VLOOKUP(Q301,Listados!$P$3:$Q$6,2,FALSE)</f>
        <v>#N/A</v>
      </c>
      <c r="S301" s="140"/>
      <c r="T301" s="98"/>
      <c r="U301" s="52" t="s">
        <v>467</v>
      </c>
      <c r="V301" s="145"/>
      <c r="W301" s="145"/>
      <c r="X301" s="145"/>
      <c r="Y301" s="99" t="str">
        <f t="shared" si="49"/>
        <v/>
      </c>
      <c r="Z301" s="145"/>
      <c r="AA301" s="99" t="str">
        <f t="shared" si="50"/>
        <v/>
      </c>
      <c r="AB301" s="140"/>
      <c r="AC301" s="99" t="str">
        <f t="shared" si="51"/>
        <v/>
      </c>
      <c r="AD301" s="140"/>
      <c r="AE301" s="99" t="str">
        <f t="shared" si="52"/>
        <v/>
      </c>
      <c r="AF301" s="140"/>
      <c r="AG301" s="99" t="str">
        <f t="shared" si="53"/>
        <v/>
      </c>
      <c r="AH301" s="140"/>
      <c r="AI301" s="99" t="str">
        <f t="shared" si="54"/>
        <v/>
      </c>
      <c r="AJ301" s="140"/>
      <c r="AK301" s="28" t="str">
        <f t="shared" si="55"/>
        <v/>
      </c>
      <c r="AL301" s="111" t="str">
        <f t="shared" si="56"/>
        <v/>
      </c>
      <c r="AM301" s="111" t="str">
        <f t="shared" si="57"/>
        <v/>
      </c>
      <c r="AN301" s="178"/>
      <c r="AO301" s="178"/>
      <c r="AP301" s="178"/>
      <c r="AQ301" s="178"/>
      <c r="AR301" s="178"/>
      <c r="AS301" s="178"/>
      <c r="AT301" s="178"/>
      <c r="AU301" s="179" t="str">
        <f>IFERROR(VLOOKUP(AT301,'Seguridad Información'!$I$61:$J$65,2,0),"")</f>
        <v/>
      </c>
      <c r="AV301" s="83"/>
      <c r="AW301" s="82" t="str">
        <f t="shared" si="48"/>
        <v/>
      </c>
      <c r="AX301" s="81" t="str">
        <f t="shared" si="58"/>
        <v/>
      </c>
      <c r="AY301" s="22" t="str">
        <f>IFERROR(VLOOKUP((CONCATENATE(AM301,AX301)),Listados!$U$3:$V$11,2,FALSE),"")</f>
        <v/>
      </c>
      <c r="AZ301" s="111">
        <f t="shared" si="59"/>
        <v>100</v>
      </c>
      <c r="BA301" s="716">
        <f>AVERAGE(AZ301:AZ306)</f>
        <v>100</v>
      </c>
      <c r="BB301" s="718" t="str">
        <f>IF(BA301&lt;=50, "Débil", IF(BA301&lt;=99,"Moderado","Fuerte"))</f>
        <v>Fuerte</v>
      </c>
      <c r="BC301" s="142">
        <f>+IF(AND(W301="Preventivo",BB301="Fuerte"),2,IF(AND(W301="Preventivo",BB301="Moderado"),1,0))</f>
        <v>0</v>
      </c>
      <c r="BD301" s="68">
        <f>+IF(AND(W301="Detectivo/Correctivo",$BB301="Fuerte"),2,IF(AND(W301="Detectivo/Correctivo",$BB301="Moderado"),1,IF(AND(W301="Preventivo",$BB301="Fuerte"),1,0)))</f>
        <v>0</v>
      </c>
      <c r="BE301" s="142" t="e">
        <f>+N301-BC301</f>
        <v>#N/A</v>
      </c>
      <c r="BF301" s="142" t="e">
        <f>+P301-BD301</f>
        <v>#N/A</v>
      </c>
      <c r="BG301" s="712" t="e">
        <f>+VLOOKUP(MIN(BE301,BE302,BE303,BE304,BE305,BE306),Listados!$J$18:$K$24,2,TRUE)</f>
        <v>#N/A</v>
      </c>
      <c r="BH301" s="712" t="e">
        <f>+VLOOKUP(MIN(BF301,BF302,BF303,BF304,BF305,BF306),Listados!$J$27:$K$32,2,TRUE)</f>
        <v>#N/A</v>
      </c>
      <c r="BI301" s="712" t="e">
        <f>IF(AND(BG301&lt;&gt;"",BH301&lt;&gt;""),VLOOKUP(BG301&amp;BH301,Listados!$M$3:$N$27,2,FALSE),"")</f>
        <v>#N/A</v>
      </c>
      <c r="BJ301" s="802" t="e">
        <f>+IF($R301="Asumir el riesgo","NA","")</f>
        <v>#N/A</v>
      </c>
      <c r="BK301" s="802" t="e">
        <f>+IF($R301="Asumir el riesgo","NA","")</f>
        <v>#N/A</v>
      </c>
      <c r="BL301" s="802" t="e">
        <f>+IF($R301="Asumir el riesgo","NA","")</f>
        <v>#N/A</v>
      </c>
      <c r="BM301" s="802" t="e">
        <f>+IF($R301="Asumir el riesgo","NA","")</f>
        <v>#N/A</v>
      </c>
    </row>
    <row r="302" spans="1:65" ht="65.150000000000006" customHeight="1" thickBot="1">
      <c r="A302" s="724"/>
      <c r="B302" s="812"/>
      <c r="C302" s="730"/>
      <c r="D302" s="158"/>
      <c r="E302" s="158"/>
      <c r="F302" s="814"/>
      <c r="G302" s="736"/>
      <c r="H302" s="105"/>
      <c r="I302" s="161"/>
      <c r="J302" s="105"/>
      <c r="K302" s="160"/>
      <c r="L302" s="150"/>
      <c r="M302" s="727"/>
      <c r="N302" s="720"/>
      <c r="O302" s="810"/>
      <c r="P302" s="720"/>
      <c r="Q302" s="715"/>
      <c r="R302" s="713"/>
      <c r="S302" s="140"/>
      <c r="T302" s="180"/>
      <c r="U302" s="52" t="s">
        <v>467</v>
      </c>
      <c r="V302" s="145"/>
      <c r="W302" s="145"/>
      <c r="X302" s="145"/>
      <c r="Y302" s="99" t="str">
        <f t="shared" si="49"/>
        <v/>
      </c>
      <c r="Z302" s="145"/>
      <c r="AA302" s="99" t="str">
        <f t="shared" si="50"/>
        <v/>
      </c>
      <c r="AB302" s="140"/>
      <c r="AC302" s="99" t="str">
        <f t="shared" si="51"/>
        <v/>
      </c>
      <c r="AD302" s="140"/>
      <c r="AE302" s="99" t="str">
        <f t="shared" si="52"/>
        <v/>
      </c>
      <c r="AF302" s="140"/>
      <c r="AG302" s="99" t="str">
        <f t="shared" si="53"/>
        <v/>
      </c>
      <c r="AH302" s="140"/>
      <c r="AI302" s="99" t="str">
        <f t="shared" si="54"/>
        <v/>
      </c>
      <c r="AJ302" s="140"/>
      <c r="AK302" s="28" t="str">
        <f t="shared" si="55"/>
        <v/>
      </c>
      <c r="AL302" s="111" t="str">
        <f t="shared" si="56"/>
        <v/>
      </c>
      <c r="AM302" s="111" t="str">
        <f t="shared" si="57"/>
        <v/>
      </c>
      <c r="AN302" s="178"/>
      <c r="AO302" s="178"/>
      <c r="AP302" s="178"/>
      <c r="AQ302" s="178"/>
      <c r="AR302" s="178"/>
      <c r="AS302" s="178"/>
      <c r="AT302" s="178"/>
      <c r="AU302" s="179" t="str">
        <f>IFERROR(VLOOKUP(AT302,'Seguridad Información'!$I$61:$J$65,2,0),"")</f>
        <v/>
      </c>
      <c r="AV302" s="83"/>
      <c r="AW302" s="82" t="str">
        <f t="shared" si="48"/>
        <v/>
      </c>
      <c r="AX302" s="81" t="str">
        <f t="shared" si="58"/>
        <v/>
      </c>
      <c r="AY302" s="22" t="str">
        <f>IFERROR(VLOOKUP((CONCATENATE(AM302,AX302)),Listados!$U$3:$V$11,2,FALSE),"")</f>
        <v/>
      </c>
      <c r="AZ302" s="111">
        <f t="shared" si="59"/>
        <v>100</v>
      </c>
      <c r="BA302" s="717"/>
      <c r="BB302" s="761"/>
      <c r="BC302" s="142">
        <f>+IF(AND(W302="Preventivo",BB301="Fuerte"),2,IF(AND(W302="Preventivo",BB301="Moderado"),1,0))</f>
        <v>0</v>
      </c>
      <c r="BD302" s="68">
        <f>+IF(AND(W302="Detectivo/Correctivo",$BB301="Fuerte"),2,IF(AND(W302="Detectivo/Correctivo",$BB302="Moderado"),1,IF(AND(W302="Preventivo",$BB301="Fuerte"),1,0)))</f>
        <v>0</v>
      </c>
      <c r="BE302" s="142" t="e">
        <f>+N301-BC302</f>
        <v>#N/A</v>
      </c>
      <c r="BF302" s="142" t="e">
        <f>+P301-BD302</f>
        <v>#N/A</v>
      </c>
      <c r="BG302" s="713"/>
      <c r="BH302" s="713"/>
      <c r="BI302" s="713"/>
      <c r="BJ302" s="803"/>
      <c r="BK302" s="803"/>
      <c r="BL302" s="803"/>
      <c r="BM302" s="803"/>
    </row>
    <row r="303" spans="1:65" ht="65.150000000000006" customHeight="1" thickBot="1">
      <c r="A303" s="724"/>
      <c r="B303" s="812"/>
      <c r="C303" s="730"/>
      <c r="D303" s="158"/>
      <c r="E303" s="158"/>
      <c r="F303" s="814"/>
      <c r="G303" s="736"/>
      <c r="H303" s="105"/>
      <c r="I303" s="161"/>
      <c r="J303" s="105"/>
      <c r="K303" s="160"/>
      <c r="L303" s="150"/>
      <c r="M303" s="727"/>
      <c r="N303" s="720"/>
      <c r="O303" s="810"/>
      <c r="P303" s="720"/>
      <c r="Q303" s="715"/>
      <c r="R303" s="713"/>
      <c r="S303" s="140"/>
      <c r="T303" s="100"/>
      <c r="U303" s="52" t="s">
        <v>467</v>
      </c>
      <c r="V303" s="145"/>
      <c r="W303" s="145"/>
      <c r="X303" s="145"/>
      <c r="Y303" s="99" t="str">
        <f t="shared" si="49"/>
        <v/>
      </c>
      <c r="Z303" s="145"/>
      <c r="AA303" s="99" t="str">
        <f t="shared" si="50"/>
        <v/>
      </c>
      <c r="AB303" s="140"/>
      <c r="AC303" s="99" t="str">
        <f t="shared" si="51"/>
        <v/>
      </c>
      <c r="AD303" s="140"/>
      <c r="AE303" s="99" t="str">
        <f t="shared" si="52"/>
        <v/>
      </c>
      <c r="AF303" s="140"/>
      <c r="AG303" s="99" t="str">
        <f t="shared" si="53"/>
        <v/>
      </c>
      <c r="AH303" s="140"/>
      <c r="AI303" s="99" t="str">
        <f t="shared" si="54"/>
        <v/>
      </c>
      <c r="AJ303" s="140"/>
      <c r="AK303" s="28" t="str">
        <f t="shared" si="55"/>
        <v/>
      </c>
      <c r="AL303" s="111" t="str">
        <f t="shared" si="56"/>
        <v/>
      </c>
      <c r="AM303" s="111" t="str">
        <f t="shared" si="57"/>
        <v/>
      </c>
      <c r="AN303" s="178"/>
      <c r="AO303" s="178"/>
      <c r="AP303" s="178"/>
      <c r="AQ303" s="178"/>
      <c r="AR303" s="178"/>
      <c r="AS303" s="178"/>
      <c r="AT303" s="178"/>
      <c r="AU303" s="179" t="str">
        <f>IFERROR(VLOOKUP(AT303,'Seguridad Información'!$I$61:$J$65,2,0),"")</f>
        <v/>
      </c>
      <c r="AV303" s="83"/>
      <c r="AW303" s="82" t="str">
        <f t="shared" si="48"/>
        <v/>
      </c>
      <c r="AX303" s="81" t="str">
        <f t="shared" si="58"/>
        <v/>
      </c>
      <c r="AY303" s="22" t="str">
        <f>IFERROR(VLOOKUP((CONCATENATE(AM303,AX303)),Listados!$U$3:$V$11,2,FALSE),"")</f>
        <v/>
      </c>
      <c r="AZ303" s="111">
        <f t="shared" si="59"/>
        <v>100</v>
      </c>
      <c r="BA303" s="717"/>
      <c r="BB303" s="761"/>
      <c r="BC303" s="142">
        <f>+IF(AND(W303="Preventivo",BB301="Fuerte"),2,IF(AND(W303="Preventivo",BB301="Moderado"),1,0))</f>
        <v>0</v>
      </c>
      <c r="BD303" s="68">
        <f>+IF(AND(W303="Detectivo/Correctivo",$BB301="Fuerte"),2,IF(AND(W303="Detectivo/Correctivo",$BB303="Moderado"),1,IF(AND(W303="Preventivo",$BB301="Fuerte"),1,0)))</f>
        <v>0</v>
      </c>
      <c r="BE303" s="142" t="e">
        <f>+N301-BC303</f>
        <v>#N/A</v>
      </c>
      <c r="BF303" s="142" t="e">
        <f>+P301-BD303</f>
        <v>#N/A</v>
      </c>
      <c r="BG303" s="713"/>
      <c r="BH303" s="713"/>
      <c r="BI303" s="713"/>
      <c r="BJ303" s="803"/>
      <c r="BK303" s="803"/>
      <c r="BL303" s="803"/>
      <c r="BM303" s="803"/>
    </row>
    <row r="304" spans="1:65" ht="65.150000000000006" customHeight="1" thickBot="1">
      <c r="A304" s="724"/>
      <c r="B304" s="812"/>
      <c r="C304" s="730"/>
      <c r="D304" s="158"/>
      <c r="E304" s="158"/>
      <c r="F304" s="814"/>
      <c r="G304" s="736"/>
      <c r="H304" s="105"/>
      <c r="I304" s="161"/>
      <c r="J304" s="105"/>
      <c r="K304" s="160"/>
      <c r="L304" s="150"/>
      <c r="M304" s="727"/>
      <c r="N304" s="720"/>
      <c r="O304" s="810"/>
      <c r="P304" s="720"/>
      <c r="Q304" s="715"/>
      <c r="R304" s="713"/>
      <c r="S304" s="140"/>
      <c r="T304" s="101"/>
      <c r="U304" s="52" t="s">
        <v>467</v>
      </c>
      <c r="V304" s="145"/>
      <c r="W304" s="145"/>
      <c r="X304" s="145"/>
      <c r="Y304" s="99" t="str">
        <f t="shared" si="49"/>
        <v/>
      </c>
      <c r="Z304" s="145"/>
      <c r="AA304" s="99" t="str">
        <f t="shared" si="50"/>
        <v/>
      </c>
      <c r="AB304" s="140"/>
      <c r="AC304" s="99" t="str">
        <f t="shared" si="51"/>
        <v/>
      </c>
      <c r="AD304" s="140"/>
      <c r="AE304" s="99" t="str">
        <f t="shared" si="52"/>
        <v/>
      </c>
      <c r="AF304" s="140"/>
      <c r="AG304" s="99" t="str">
        <f t="shared" si="53"/>
        <v/>
      </c>
      <c r="AH304" s="140"/>
      <c r="AI304" s="99" t="str">
        <f t="shared" si="54"/>
        <v/>
      </c>
      <c r="AJ304" s="140"/>
      <c r="AK304" s="28" t="str">
        <f t="shared" si="55"/>
        <v/>
      </c>
      <c r="AL304" s="111" t="str">
        <f t="shared" si="56"/>
        <v/>
      </c>
      <c r="AM304" s="111" t="str">
        <f t="shared" si="57"/>
        <v/>
      </c>
      <c r="AN304" s="178"/>
      <c r="AO304" s="178"/>
      <c r="AP304" s="178"/>
      <c r="AQ304" s="178"/>
      <c r="AR304" s="178"/>
      <c r="AS304" s="178"/>
      <c r="AT304" s="178"/>
      <c r="AU304" s="179" t="str">
        <f>IFERROR(VLOOKUP(AT304,'Seguridad Información'!$I$61:$J$65,2,0),"")</f>
        <v/>
      </c>
      <c r="AV304" s="83"/>
      <c r="AW304" s="82" t="str">
        <f t="shared" si="48"/>
        <v/>
      </c>
      <c r="AX304" s="81" t="str">
        <f t="shared" si="58"/>
        <v/>
      </c>
      <c r="AY304" s="22" t="str">
        <f>IFERROR(VLOOKUP((CONCATENATE(AM304,AX304)),Listados!$U$3:$V$11,2,FALSE),"")</f>
        <v/>
      </c>
      <c r="AZ304" s="111">
        <f t="shared" si="59"/>
        <v>100</v>
      </c>
      <c r="BA304" s="717"/>
      <c r="BB304" s="761"/>
      <c r="BC304" s="142">
        <f>+IF(AND(W304="Preventivo",BB301="Fuerte"),2,IF(AND(W304="Preventivo",BB301="Moderado"),1,0))</f>
        <v>0</v>
      </c>
      <c r="BD304" s="68">
        <f>+IF(AND(W304="Detectivo/Correctivo",$BB301="Fuerte"),2,IF(AND(W304="Detectivo/Correctivo",$BB304="Moderado"),1,IF(AND(W304="Preventivo",$BB301="Fuerte"),1,0)))</f>
        <v>0</v>
      </c>
      <c r="BE304" s="142" t="e">
        <f>+N301-BC304</f>
        <v>#N/A</v>
      </c>
      <c r="BF304" s="142" t="e">
        <f>+P301-BD304</f>
        <v>#N/A</v>
      </c>
      <c r="BG304" s="713"/>
      <c r="BH304" s="713"/>
      <c r="BI304" s="713"/>
      <c r="BJ304" s="803"/>
      <c r="BK304" s="803"/>
      <c r="BL304" s="803"/>
      <c r="BM304" s="803"/>
    </row>
    <row r="305" spans="1:65" ht="65.150000000000006" customHeight="1" thickBot="1">
      <c r="A305" s="724"/>
      <c r="B305" s="812"/>
      <c r="C305" s="730"/>
      <c r="D305" s="116"/>
      <c r="E305" s="116"/>
      <c r="F305" s="814"/>
      <c r="G305" s="736"/>
      <c r="H305" s="105"/>
      <c r="I305" s="161"/>
      <c r="J305" s="105"/>
      <c r="K305" s="29"/>
      <c r="L305" s="150"/>
      <c r="M305" s="727"/>
      <c r="N305" s="720"/>
      <c r="O305" s="810"/>
      <c r="P305" s="720"/>
      <c r="Q305" s="715"/>
      <c r="R305" s="713"/>
      <c r="S305" s="140"/>
      <c r="T305" s="180"/>
      <c r="U305" s="52" t="s">
        <v>467</v>
      </c>
      <c r="V305" s="145"/>
      <c r="W305" s="145"/>
      <c r="X305" s="145"/>
      <c r="Y305" s="99" t="str">
        <f t="shared" si="49"/>
        <v/>
      </c>
      <c r="Z305" s="145"/>
      <c r="AA305" s="99" t="str">
        <f t="shared" si="50"/>
        <v/>
      </c>
      <c r="AB305" s="140"/>
      <c r="AC305" s="99" t="str">
        <f t="shared" si="51"/>
        <v/>
      </c>
      <c r="AD305" s="140"/>
      <c r="AE305" s="99" t="str">
        <f t="shared" si="52"/>
        <v/>
      </c>
      <c r="AF305" s="140"/>
      <c r="AG305" s="99" t="str">
        <f t="shared" si="53"/>
        <v/>
      </c>
      <c r="AH305" s="140"/>
      <c r="AI305" s="99" t="str">
        <f t="shared" si="54"/>
        <v/>
      </c>
      <c r="AJ305" s="140"/>
      <c r="AK305" s="28" t="str">
        <f t="shared" si="55"/>
        <v/>
      </c>
      <c r="AL305" s="111" t="str">
        <f t="shared" si="56"/>
        <v/>
      </c>
      <c r="AM305" s="111" t="str">
        <f t="shared" si="57"/>
        <v/>
      </c>
      <c r="AN305" s="178"/>
      <c r="AO305" s="178"/>
      <c r="AP305" s="178"/>
      <c r="AQ305" s="178"/>
      <c r="AR305" s="178"/>
      <c r="AS305" s="178"/>
      <c r="AT305" s="178"/>
      <c r="AU305" s="179" t="str">
        <f>IFERROR(VLOOKUP(AT305,'Seguridad Información'!$I$61:$J$65,2,0),"")</f>
        <v/>
      </c>
      <c r="AV305" s="83"/>
      <c r="AW305" s="82" t="str">
        <f t="shared" si="48"/>
        <v/>
      </c>
      <c r="AX305" s="81" t="str">
        <f t="shared" si="58"/>
        <v/>
      </c>
      <c r="AY305" s="22" t="str">
        <f>IFERROR(VLOOKUP((CONCATENATE(AM305,AX305)),Listados!$U$3:$V$11,2,FALSE),"")</f>
        <v/>
      </c>
      <c r="AZ305" s="111">
        <f t="shared" si="59"/>
        <v>100</v>
      </c>
      <c r="BA305" s="717"/>
      <c r="BB305" s="761"/>
      <c r="BC305" s="142">
        <f>+IF(AND(W305="Preventivo",BB301="Fuerte"),2,IF(AND(W305="Preventivo",BB301="Moderado"),1,0))</f>
        <v>0</v>
      </c>
      <c r="BD305" s="68">
        <f>+IF(AND(W305="Detectivo/Correctivo",$BB301="Fuerte"),2,IF(AND(W305="Detectivo/Correctivo",$BB305="Moderado"),1,IF(AND(W305="Preventivo",$BB301="Fuerte"),1,0)))</f>
        <v>0</v>
      </c>
      <c r="BE305" s="142" t="e">
        <f>+N301-BC305</f>
        <v>#N/A</v>
      </c>
      <c r="BF305" s="142" t="e">
        <f>+P301-BD305</f>
        <v>#N/A</v>
      </c>
      <c r="BG305" s="713"/>
      <c r="BH305" s="713"/>
      <c r="BI305" s="713"/>
      <c r="BJ305" s="803"/>
      <c r="BK305" s="803"/>
      <c r="BL305" s="803"/>
      <c r="BM305" s="803"/>
    </row>
    <row r="306" spans="1:65" ht="65.150000000000006" customHeight="1" thickBot="1">
      <c r="A306" s="725"/>
      <c r="B306" s="812"/>
      <c r="C306" s="731"/>
      <c r="D306" s="113"/>
      <c r="E306" s="113"/>
      <c r="F306" s="815"/>
      <c r="G306" s="781"/>
      <c r="H306" s="105"/>
      <c r="I306" s="161"/>
      <c r="J306" s="105"/>
      <c r="K306" s="30"/>
      <c r="L306" s="150"/>
      <c r="M306" s="727"/>
      <c r="N306" s="721"/>
      <c r="O306" s="810"/>
      <c r="P306" s="721"/>
      <c r="Q306" s="715"/>
      <c r="R306" s="714"/>
      <c r="S306" s="140"/>
      <c r="T306" s="102"/>
      <c r="U306" s="52" t="s">
        <v>467</v>
      </c>
      <c r="V306" s="145"/>
      <c r="W306" s="145"/>
      <c r="X306" s="145"/>
      <c r="Y306" s="99" t="str">
        <f t="shared" si="49"/>
        <v/>
      </c>
      <c r="Z306" s="145"/>
      <c r="AA306" s="99" t="str">
        <f t="shared" si="50"/>
        <v/>
      </c>
      <c r="AB306" s="140"/>
      <c r="AC306" s="99" t="str">
        <f t="shared" si="51"/>
        <v/>
      </c>
      <c r="AD306" s="140"/>
      <c r="AE306" s="99" t="str">
        <f t="shared" si="52"/>
        <v/>
      </c>
      <c r="AF306" s="140"/>
      <c r="AG306" s="99" t="str">
        <f t="shared" si="53"/>
        <v/>
      </c>
      <c r="AH306" s="140"/>
      <c r="AI306" s="99" t="str">
        <f t="shared" si="54"/>
        <v/>
      </c>
      <c r="AJ306" s="140"/>
      <c r="AK306" s="28" t="str">
        <f t="shared" si="55"/>
        <v/>
      </c>
      <c r="AL306" s="111" t="str">
        <f t="shared" si="56"/>
        <v/>
      </c>
      <c r="AM306" s="111" t="str">
        <f t="shared" si="57"/>
        <v/>
      </c>
      <c r="AN306" s="178"/>
      <c r="AO306" s="178"/>
      <c r="AP306" s="178"/>
      <c r="AQ306" s="178"/>
      <c r="AR306" s="178"/>
      <c r="AS306" s="178"/>
      <c r="AT306" s="178"/>
      <c r="AU306" s="179" t="str">
        <f>IFERROR(VLOOKUP(AT306,'Seguridad Información'!$I$61:$J$65,2,0),"")</f>
        <v/>
      </c>
      <c r="AV306" s="83"/>
      <c r="AW306" s="82" t="str">
        <f t="shared" si="48"/>
        <v/>
      </c>
      <c r="AX306" s="81" t="str">
        <f t="shared" si="58"/>
        <v/>
      </c>
      <c r="AY306" s="22" t="str">
        <f>IFERROR(VLOOKUP((CONCATENATE(AM306,AX306)),Listados!$U$3:$V$11,2,FALSE),"")</f>
        <v/>
      </c>
      <c r="AZ306" s="111">
        <f t="shared" si="59"/>
        <v>100</v>
      </c>
      <c r="BA306" s="718"/>
      <c r="BB306" s="761"/>
      <c r="BC306" s="142">
        <f>+IF(AND(W306="Preventivo",BB301="Fuerte"),2,IF(AND(W306="Preventivo",BB301="Moderado"),1,0))</f>
        <v>0</v>
      </c>
      <c r="BD306" s="68">
        <f>+IF(AND(W306="Detectivo/Correctivo",$BB301="Fuerte"),2,IF(AND(W306="Detectivo/Correctivo",$BB306="Moderado"),1,IF(AND(W306="Preventivo",$BB301="Fuerte"),1,0)))</f>
        <v>0</v>
      </c>
      <c r="BE306" s="142" t="e">
        <f>+N301-BC306</f>
        <v>#N/A</v>
      </c>
      <c r="BF306" s="142" t="e">
        <f>+P301-BD306</f>
        <v>#N/A</v>
      </c>
      <c r="BG306" s="714"/>
      <c r="BH306" s="714"/>
      <c r="BI306" s="714"/>
      <c r="BJ306" s="804"/>
      <c r="BK306" s="804"/>
      <c r="BL306" s="804"/>
      <c r="BM306" s="804"/>
    </row>
    <row r="307" spans="1:65" ht="65.150000000000006" customHeight="1" thickBot="1">
      <c r="A307" s="723">
        <v>51</v>
      </c>
      <c r="B307" s="811"/>
      <c r="C307" s="729" t="str">
        <f>IFERROR(VLOOKUP(B307,Listados!B$3:C$20,2,FALSE),"")</f>
        <v/>
      </c>
      <c r="D307" s="114"/>
      <c r="E307" s="114"/>
      <c r="F307" s="813"/>
      <c r="G307" s="735"/>
      <c r="H307" s="105"/>
      <c r="I307" s="161"/>
      <c r="J307" s="105"/>
      <c r="K307" s="109"/>
      <c r="L307" s="18"/>
      <c r="M307" s="762"/>
      <c r="N307" s="719" t="e">
        <f>+VLOOKUP(M307,Listados!$K$8:$L$12,2,0)</f>
        <v>#N/A</v>
      </c>
      <c r="O307" s="809"/>
      <c r="P307" s="719" t="e">
        <f>+VLOOKUP(O307,Listados!$K$13:$L$17,2,0)</f>
        <v>#N/A</v>
      </c>
      <c r="Q307" s="714" t="str">
        <f>IF(AND(M307&lt;&gt;"",O307&lt;&gt;""),VLOOKUP(M307&amp;O307,Listados!$M$3:$N$27,2,FALSE),"")</f>
        <v/>
      </c>
      <c r="R307" s="712" t="e">
        <f>+VLOOKUP(Q307,Listados!$P$3:$Q$6,2,FALSE)</f>
        <v>#N/A</v>
      </c>
      <c r="S307" s="140"/>
      <c r="T307" s="98"/>
      <c r="U307" s="52" t="s">
        <v>467</v>
      </c>
      <c r="V307" s="145"/>
      <c r="W307" s="145"/>
      <c r="X307" s="145"/>
      <c r="Y307" s="99" t="str">
        <f t="shared" si="49"/>
        <v/>
      </c>
      <c r="Z307" s="145"/>
      <c r="AA307" s="99" t="str">
        <f t="shared" si="50"/>
        <v/>
      </c>
      <c r="AB307" s="140"/>
      <c r="AC307" s="99" t="str">
        <f t="shared" si="51"/>
        <v/>
      </c>
      <c r="AD307" s="140"/>
      <c r="AE307" s="99" t="str">
        <f t="shared" si="52"/>
        <v/>
      </c>
      <c r="AF307" s="140"/>
      <c r="AG307" s="99" t="str">
        <f t="shared" si="53"/>
        <v/>
      </c>
      <c r="AH307" s="140"/>
      <c r="AI307" s="99" t="str">
        <f t="shared" si="54"/>
        <v/>
      </c>
      <c r="AJ307" s="140"/>
      <c r="AK307" s="28" t="str">
        <f t="shared" si="55"/>
        <v/>
      </c>
      <c r="AL307" s="111" t="str">
        <f t="shared" si="56"/>
        <v/>
      </c>
      <c r="AM307" s="111" t="str">
        <f t="shared" si="57"/>
        <v/>
      </c>
      <c r="AN307" s="178"/>
      <c r="AO307" s="178"/>
      <c r="AP307" s="178"/>
      <c r="AQ307" s="178"/>
      <c r="AR307" s="178"/>
      <c r="AS307" s="178"/>
      <c r="AT307" s="178"/>
      <c r="AU307" s="179" t="str">
        <f>IFERROR(VLOOKUP(AT307,'Seguridad Información'!$I$61:$J$65,2,0),"")</f>
        <v/>
      </c>
      <c r="AV307" s="83"/>
      <c r="AW307" s="82" t="str">
        <f t="shared" si="48"/>
        <v/>
      </c>
      <c r="AX307" s="81" t="str">
        <f t="shared" si="58"/>
        <v/>
      </c>
      <c r="AY307" s="22" t="str">
        <f>IFERROR(VLOOKUP((CONCATENATE(AM307,AX307)),Listados!$U$3:$V$11,2,FALSE),"")</f>
        <v/>
      </c>
      <c r="AZ307" s="111">
        <f t="shared" si="59"/>
        <v>100</v>
      </c>
      <c r="BA307" s="716">
        <f>AVERAGE(AZ307:AZ312)</f>
        <v>100</v>
      </c>
      <c r="BB307" s="718" t="str">
        <f>IF(BA307&lt;=50, "Débil", IF(BA307&lt;=99,"Moderado","Fuerte"))</f>
        <v>Fuerte</v>
      </c>
      <c r="BC307" s="142">
        <f>+IF(AND(W307="Preventivo",BB307="Fuerte"),2,IF(AND(W307="Preventivo",BB307="Moderado"),1,0))</f>
        <v>0</v>
      </c>
      <c r="BD307" s="68">
        <f>+IF(AND(W307="Detectivo/Correctivo",$BB307="Fuerte"),2,IF(AND(W307="Detectivo/Correctivo",$BB307="Moderado"),1,IF(AND(W307="Preventivo",$BB307="Fuerte"),1,0)))</f>
        <v>0</v>
      </c>
      <c r="BE307" s="142" t="e">
        <f>+N307-BC307</f>
        <v>#N/A</v>
      </c>
      <c r="BF307" s="142" t="e">
        <f>+P307-BD307</f>
        <v>#N/A</v>
      </c>
      <c r="BG307" s="712" t="e">
        <f>+VLOOKUP(MIN(BE307,BE308,BE309,BE310,BE311,BE312),Listados!$J$18:$K$24,2,TRUE)</f>
        <v>#N/A</v>
      </c>
      <c r="BH307" s="712" t="e">
        <f>+VLOOKUP(MIN(BF307,BF308,BF309,BF310,BF311,BF312),Listados!$J$27:$K$32,2,TRUE)</f>
        <v>#N/A</v>
      </c>
      <c r="BI307" s="712" t="e">
        <f>IF(AND(BG307&lt;&gt;"",BH307&lt;&gt;""),VLOOKUP(BG307&amp;BH307,Listados!$M$3:$N$27,2,FALSE),"")</f>
        <v>#N/A</v>
      </c>
      <c r="BJ307" s="802" t="e">
        <f>+IF($R307="Asumir el riesgo","NA","")</f>
        <v>#N/A</v>
      </c>
      <c r="BK307" s="802" t="e">
        <f>+IF($R307="Asumir el riesgo","NA","")</f>
        <v>#N/A</v>
      </c>
      <c r="BL307" s="802" t="e">
        <f>+IF($R307="Asumir el riesgo","NA","")</f>
        <v>#N/A</v>
      </c>
      <c r="BM307" s="802" t="e">
        <f>+IF($R307="Asumir el riesgo","NA","")</f>
        <v>#N/A</v>
      </c>
    </row>
    <row r="308" spans="1:65" ht="65.150000000000006" customHeight="1" thickBot="1">
      <c r="A308" s="724"/>
      <c r="B308" s="812"/>
      <c r="C308" s="730"/>
      <c r="D308" s="158"/>
      <c r="E308" s="158"/>
      <c r="F308" s="814"/>
      <c r="G308" s="736"/>
      <c r="H308" s="105"/>
      <c r="I308" s="161"/>
      <c r="J308" s="105"/>
      <c r="K308" s="160"/>
      <c r="L308" s="150"/>
      <c r="M308" s="727"/>
      <c r="N308" s="720"/>
      <c r="O308" s="810"/>
      <c r="P308" s="720"/>
      <c r="Q308" s="715"/>
      <c r="R308" s="713"/>
      <c r="S308" s="140"/>
      <c r="T308" s="180"/>
      <c r="U308" s="52" t="s">
        <v>467</v>
      </c>
      <c r="V308" s="145"/>
      <c r="W308" s="145"/>
      <c r="X308" s="145"/>
      <c r="Y308" s="99" t="str">
        <f t="shared" si="49"/>
        <v/>
      </c>
      <c r="Z308" s="145"/>
      <c r="AA308" s="99" t="str">
        <f t="shared" si="50"/>
        <v/>
      </c>
      <c r="AB308" s="140"/>
      <c r="AC308" s="99" t="str">
        <f t="shared" si="51"/>
        <v/>
      </c>
      <c r="AD308" s="140"/>
      <c r="AE308" s="99" t="str">
        <f t="shared" si="52"/>
        <v/>
      </c>
      <c r="AF308" s="140"/>
      <c r="AG308" s="99" t="str">
        <f t="shared" si="53"/>
        <v/>
      </c>
      <c r="AH308" s="140"/>
      <c r="AI308" s="99" t="str">
        <f t="shared" si="54"/>
        <v/>
      </c>
      <c r="AJ308" s="140"/>
      <c r="AK308" s="28" t="str">
        <f t="shared" si="55"/>
        <v/>
      </c>
      <c r="AL308" s="111" t="str">
        <f t="shared" si="56"/>
        <v/>
      </c>
      <c r="AM308" s="111" t="str">
        <f t="shared" si="57"/>
        <v/>
      </c>
      <c r="AN308" s="178"/>
      <c r="AO308" s="178"/>
      <c r="AP308" s="178"/>
      <c r="AQ308" s="178"/>
      <c r="AR308" s="178"/>
      <c r="AS308" s="178"/>
      <c r="AT308" s="178"/>
      <c r="AU308" s="179" t="str">
        <f>IFERROR(VLOOKUP(AT308,'Seguridad Información'!$I$61:$J$65,2,0),"")</f>
        <v/>
      </c>
      <c r="AV308" s="83"/>
      <c r="AW308" s="82" t="str">
        <f t="shared" si="48"/>
        <v/>
      </c>
      <c r="AX308" s="81" t="str">
        <f t="shared" si="58"/>
        <v/>
      </c>
      <c r="AY308" s="22" t="str">
        <f>IFERROR(VLOOKUP((CONCATENATE(AM308,AX308)),Listados!$U$3:$V$11,2,FALSE),"")</f>
        <v/>
      </c>
      <c r="AZ308" s="111">
        <f t="shared" si="59"/>
        <v>100</v>
      </c>
      <c r="BA308" s="717"/>
      <c r="BB308" s="761"/>
      <c r="BC308" s="142">
        <f>+IF(AND(W308="Preventivo",BB307="Fuerte"),2,IF(AND(W308="Preventivo",BB307="Moderado"),1,0))</f>
        <v>0</v>
      </c>
      <c r="BD308" s="68">
        <f>+IF(AND(W308="Detectivo/Correctivo",$BB307="Fuerte"),2,IF(AND(W308="Detectivo/Correctivo",$BB308="Moderado"),1,IF(AND(W308="Preventivo",$BB307="Fuerte"),1,0)))</f>
        <v>0</v>
      </c>
      <c r="BE308" s="142" t="e">
        <f>+N307-BC308</f>
        <v>#N/A</v>
      </c>
      <c r="BF308" s="142" t="e">
        <f>+P307-BD308</f>
        <v>#N/A</v>
      </c>
      <c r="BG308" s="713"/>
      <c r="BH308" s="713"/>
      <c r="BI308" s="713"/>
      <c r="BJ308" s="803"/>
      <c r="BK308" s="803"/>
      <c r="BL308" s="803"/>
      <c r="BM308" s="803"/>
    </row>
    <row r="309" spans="1:65" ht="65.150000000000006" customHeight="1" thickBot="1">
      <c r="A309" s="724"/>
      <c r="B309" s="812"/>
      <c r="C309" s="730"/>
      <c r="D309" s="158"/>
      <c r="E309" s="158"/>
      <c r="F309" s="814"/>
      <c r="G309" s="736"/>
      <c r="H309" s="105"/>
      <c r="I309" s="161"/>
      <c r="J309" s="105"/>
      <c r="K309" s="160"/>
      <c r="L309" s="150"/>
      <c r="M309" s="727"/>
      <c r="N309" s="720"/>
      <c r="O309" s="810"/>
      <c r="P309" s="720"/>
      <c r="Q309" s="715"/>
      <c r="R309" s="713"/>
      <c r="S309" s="140"/>
      <c r="T309" s="100"/>
      <c r="U309" s="52" t="s">
        <v>467</v>
      </c>
      <c r="V309" s="145"/>
      <c r="W309" s="145"/>
      <c r="X309" s="145"/>
      <c r="Y309" s="99" t="str">
        <f t="shared" si="49"/>
        <v/>
      </c>
      <c r="Z309" s="145"/>
      <c r="AA309" s="99" t="str">
        <f t="shared" si="50"/>
        <v/>
      </c>
      <c r="AB309" s="140"/>
      <c r="AC309" s="99" t="str">
        <f t="shared" si="51"/>
        <v/>
      </c>
      <c r="AD309" s="140"/>
      <c r="AE309" s="99" t="str">
        <f t="shared" si="52"/>
        <v/>
      </c>
      <c r="AF309" s="140"/>
      <c r="AG309" s="99" t="str">
        <f t="shared" si="53"/>
        <v/>
      </c>
      <c r="AH309" s="140"/>
      <c r="AI309" s="99" t="str">
        <f t="shared" si="54"/>
        <v/>
      </c>
      <c r="AJ309" s="140"/>
      <c r="AK309" s="28" t="str">
        <f t="shared" si="55"/>
        <v/>
      </c>
      <c r="AL309" s="111" t="str">
        <f t="shared" si="56"/>
        <v/>
      </c>
      <c r="AM309" s="111" t="str">
        <f t="shared" si="57"/>
        <v/>
      </c>
      <c r="AN309" s="178"/>
      <c r="AO309" s="178"/>
      <c r="AP309" s="178"/>
      <c r="AQ309" s="178"/>
      <c r="AR309" s="178"/>
      <c r="AS309" s="178"/>
      <c r="AT309" s="178"/>
      <c r="AU309" s="179" t="str">
        <f>IFERROR(VLOOKUP(AT309,'Seguridad Información'!$I$61:$J$65,2,0),"")</f>
        <v/>
      </c>
      <c r="AV309" s="83"/>
      <c r="AW309" s="82" t="str">
        <f t="shared" si="48"/>
        <v/>
      </c>
      <c r="AX309" s="81" t="str">
        <f t="shared" si="58"/>
        <v/>
      </c>
      <c r="AY309" s="22" t="str">
        <f>IFERROR(VLOOKUP((CONCATENATE(AM309,AX309)),Listados!$U$3:$V$11,2,FALSE),"")</f>
        <v/>
      </c>
      <c r="AZ309" s="111">
        <f t="shared" si="59"/>
        <v>100</v>
      </c>
      <c r="BA309" s="717"/>
      <c r="BB309" s="761"/>
      <c r="BC309" s="142">
        <f>+IF(AND(W309="Preventivo",BB307="Fuerte"),2,IF(AND(W309="Preventivo",BB307="Moderado"),1,0))</f>
        <v>0</v>
      </c>
      <c r="BD309" s="68">
        <f>+IF(AND(W309="Detectivo/Correctivo",$BB307="Fuerte"),2,IF(AND(W309="Detectivo/Correctivo",$BB309="Moderado"),1,IF(AND(W309="Preventivo",$BB307="Fuerte"),1,0)))</f>
        <v>0</v>
      </c>
      <c r="BE309" s="142" t="e">
        <f>+N307-BC309</f>
        <v>#N/A</v>
      </c>
      <c r="BF309" s="142" t="e">
        <f>+P307-BD309</f>
        <v>#N/A</v>
      </c>
      <c r="BG309" s="713"/>
      <c r="BH309" s="713"/>
      <c r="BI309" s="713"/>
      <c r="BJ309" s="803"/>
      <c r="BK309" s="803"/>
      <c r="BL309" s="803"/>
      <c r="BM309" s="803"/>
    </row>
    <row r="310" spans="1:65" ht="65.150000000000006" customHeight="1" thickBot="1">
      <c r="A310" s="724"/>
      <c r="B310" s="812"/>
      <c r="C310" s="730"/>
      <c r="D310" s="158"/>
      <c r="E310" s="158"/>
      <c r="F310" s="814"/>
      <c r="G310" s="736"/>
      <c r="H310" s="105"/>
      <c r="I310" s="161"/>
      <c r="J310" s="105"/>
      <c r="K310" s="160"/>
      <c r="L310" s="150"/>
      <c r="M310" s="727"/>
      <c r="N310" s="720"/>
      <c r="O310" s="810"/>
      <c r="P310" s="720"/>
      <c r="Q310" s="715"/>
      <c r="R310" s="713"/>
      <c r="S310" s="140"/>
      <c r="T310" s="101"/>
      <c r="U310" s="52" t="s">
        <v>467</v>
      </c>
      <c r="V310" s="145"/>
      <c r="W310" s="145"/>
      <c r="X310" s="145"/>
      <c r="Y310" s="99" t="str">
        <f t="shared" si="49"/>
        <v/>
      </c>
      <c r="Z310" s="145"/>
      <c r="AA310" s="99" t="str">
        <f t="shared" si="50"/>
        <v/>
      </c>
      <c r="AB310" s="140"/>
      <c r="AC310" s="99" t="str">
        <f t="shared" si="51"/>
        <v/>
      </c>
      <c r="AD310" s="140"/>
      <c r="AE310" s="99" t="str">
        <f t="shared" si="52"/>
        <v/>
      </c>
      <c r="AF310" s="140"/>
      <c r="AG310" s="99" t="str">
        <f t="shared" si="53"/>
        <v/>
      </c>
      <c r="AH310" s="140"/>
      <c r="AI310" s="99" t="str">
        <f t="shared" si="54"/>
        <v/>
      </c>
      <c r="AJ310" s="140"/>
      <c r="AK310" s="28" t="str">
        <f t="shared" si="55"/>
        <v/>
      </c>
      <c r="AL310" s="111" t="str">
        <f t="shared" si="56"/>
        <v/>
      </c>
      <c r="AM310" s="111" t="str">
        <f t="shared" si="57"/>
        <v/>
      </c>
      <c r="AN310" s="178"/>
      <c r="AO310" s="178"/>
      <c r="AP310" s="178"/>
      <c r="AQ310" s="178"/>
      <c r="AR310" s="178"/>
      <c r="AS310" s="178"/>
      <c r="AT310" s="178"/>
      <c r="AU310" s="179" t="str">
        <f>IFERROR(VLOOKUP(AT310,'Seguridad Información'!$I$61:$J$65,2,0),"")</f>
        <v/>
      </c>
      <c r="AV310" s="83"/>
      <c r="AW310" s="82" t="str">
        <f t="shared" si="48"/>
        <v/>
      </c>
      <c r="AX310" s="81" t="str">
        <f t="shared" si="58"/>
        <v/>
      </c>
      <c r="AY310" s="22" t="str">
        <f>IFERROR(VLOOKUP((CONCATENATE(AM310,AX310)),Listados!$U$3:$V$11,2,FALSE),"")</f>
        <v/>
      </c>
      <c r="AZ310" s="111">
        <f t="shared" si="59"/>
        <v>100</v>
      </c>
      <c r="BA310" s="717"/>
      <c r="BB310" s="761"/>
      <c r="BC310" s="142">
        <f>+IF(AND(W310="Preventivo",BB307="Fuerte"),2,IF(AND(W310="Preventivo",BB307="Moderado"),1,0))</f>
        <v>0</v>
      </c>
      <c r="BD310" s="68">
        <f>+IF(AND(W310="Detectivo/Correctivo",$BB307="Fuerte"),2,IF(AND(W310="Detectivo/Correctivo",$BB310="Moderado"),1,IF(AND(W310="Preventivo",$BB307="Fuerte"),1,0)))</f>
        <v>0</v>
      </c>
      <c r="BE310" s="142" t="e">
        <f>+N307-BC310</f>
        <v>#N/A</v>
      </c>
      <c r="BF310" s="142" t="e">
        <f>+P307-BD310</f>
        <v>#N/A</v>
      </c>
      <c r="BG310" s="713"/>
      <c r="BH310" s="713"/>
      <c r="BI310" s="713"/>
      <c r="BJ310" s="803"/>
      <c r="BK310" s="803"/>
      <c r="BL310" s="803"/>
      <c r="BM310" s="803"/>
    </row>
    <row r="311" spans="1:65" ht="65.150000000000006" customHeight="1" thickBot="1">
      <c r="A311" s="724"/>
      <c r="B311" s="812"/>
      <c r="C311" s="730"/>
      <c r="D311" s="116"/>
      <c r="E311" s="116"/>
      <c r="F311" s="814"/>
      <c r="G311" s="736"/>
      <c r="H311" s="105"/>
      <c r="I311" s="161"/>
      <c r="J311" s="105"/>
      <c r="K311" s="29"/>
      <c r="L311" s="150"/>
      <c r="M311" s="727"/>
      <c r="N311" s="720"/>
      <c r="O311" s="810"/>
      <c r="P311" s="720"/>
      <c r="Q311" s="715"/>
      <c r="R311" s="713"/>
      <c r="S311" s="140"/>
      <c r="T311" s="180"/>
      <c r="U311" s="52" t="s">
        <v>467</v>
      </c>
      <c r="V311" s="145"/>
      <c r="W311" s="145"/>
      <c r="X311" s="145"/>
      <c r="Y311" s="99" t="str">
        <f t="shared" si="49"/>
        <v/>
      </c>
      <c r="Z311" s="145"/>
      <c r="AA311" s="99" t="str">
        <f t="shared" si="50"/>
        <v/>
      </c>
      <c r="AB311" s="140"/>
      <c r="AC311" s="99" t="str">
        <f t="shared" si="51"/>
        <v/>
      </c>
      <c r="AD311" s="140"/>
      <c r="AE311" s="99" t="str">
        <f t="shared" si="52"/>
        <v/>
      </c>
      <c r="AF311" s="140"/>
      <c r="AG311" s="99" t="str">
        <f t="shared" si="53"/>
        <v/>
      </c>
      <c r="AH311" s="140"/>
      <c r="AI311" s="99" t="str">
        <f t="shared" si="54"/>
        <v/>
      </c>
      <c r="AJ311" s="140"/>
      <c r="AK311" s="28" t="str">
        <f t="shared" si="55"/>
        <v/>
      </c>
      <c r="AL311" s="111" t="str">
        <f t="shared" si="56"/>
        <v/>
      </c>
      <c r="AM311" s="111" t="str">
        <f t="shared" si="57"/>
        <v/>
      </c>
      <c r="AN311" s="178"/>
      <c r="AO311" s="178"/>
      <c r="AP311" s="178"/>
      <c r="AQ311" s="178"/>
      <c r="AR311" s="178"/>
      <c r="AS311" s="178"/>
      <c r="AT311" s="178"/>
      <c r="AU311" s="179" t="str">
        <f>IFERROR(VLOOKUP(AT311,'Seguridad Información'!$I$61:$J$65,2,0),"")</f>
        <v/>
      </c>
      <c r="AV311" s="83"/>
      <c r="AW311" s="82" t="str">
        <f t="shared" si="48"/>
        <v/>
      </c>
      <c r="AX311" s="81" t="str">
        <f t="shared" si="58"/>
        <v/>
      </c>
      <c r="AY311" s="22" t="str">
        <f>IFERROR(VLOOKUP((CONCATENATE(AM311,AX311)),Listados!$U$3:$V$11,2,FALSE),"")</f>
        <v/>
      </c>
      <c r="AZ311" s="111">
        <f t="shared" si="59"/>
        <v>100</v>
      </c>
      <c r="BA311" s="717"/>
      <c r="BB311" s="761"/>
      <c r="BC311" s="142">
        <f>+IF(AND(W311="Preventivo",BB307="Fuerte"),2,IF(AND(W311="Preventivo",BB307="Moderado"),1,0))</f>
        <v>0</v>
      </c>
      <c r="BD311" s="68">
        <f>+IF(AND(W311="Detectivo/Correctivo",$BB307="Fuerte"),2,IF(AND(W311="Detectivo/Correctivo",$BB311="Moderado"),1,IF(AND(W311="Preventivo",$BB307="Fuerte"),1,0)))</f>
        <v>0</v>
      </c>
      <c r="BE311" s="142" t="e">
        <f>+N307-BC311</f>
        <v>#N/A</v>
      </c>
      <c r="BF311" s="142" t="e">
        <f>+P307-BD311</f>
        <v>#N/A</v>
      </c>
      <c r="BG311" s="713"/>
      <c r="BH311" s="713"/>
      <c r="BI311" s="713"/>
      <c r="BJ311" s="803"/>
      <c r="BK311" s="803"/>
      <c r="BL311" s="803"/>
      <c r="BM311" s="803"/>
    </row>
    <row r="312" spans="1:65" ht="65.150000000000006" customHeight="1" thickBot="1">
      <c r="A312" s="725"/>
      <c r="B312" s="812"/>
      <c r="C312" s="731"/>
      <c r="D312" s="113"/>
      <c r="E312" s="113"/>
      <c r="F312" s="815"/>
      <c r="G312" s="781"/>
      <c r="H312" s="105"/>
      <c r="I312" s="161"/>
      <c r="J312" s="105"/>
      <c r="K312" s="30"/>
      <c r="L312" s="150"/>
      <c r="M312" s="727"/>
      <c r="N312" s="721"/>
      <c r="O312" s="810"/>
      <c r="P312" s="721"/>
      <c r="Q312" s="715"/>
      <c r="R312" s="714"/>
      <c r="S312" s="140"/>
      <c r="T312" s="102"/>
      <c r="U312" s="52" t="s">
        <v>467</v>
      </c>
      <c r="V312" s="145"/>
      <c r="W312" s="145"/>
      <c r="X312" s="145"/>
      <c r="Y312" s="99" t="str">
        <f t="shared" si="49"/>
        <v/>
      </c>
      <c r="Z312" s="145"/>
      <c r="AA312" s="99" t="str">
        <f t="shared" si="50"/>
        <v/>
      </c>
      <c r="AB312" s="140"/>
      <c r="AC312" s="99" t="str">
        <f t="shared" si="51"/>
        <v/>
      </c>
      <c r="AD312" s="140"/>
      <c r="AE312" s="99" t="str">
        <f t="shared" si="52"/>
        <v/>
      </c>
      <c r="AF312" s="140"/>
      <c r="AG312" s="99" t="str">
        <f t="shared" si="53"/>
        <v/>
      </c>
      <c r="AH312" s="140"/>
      <c r="AI312" s="99" t="str">
        <f t="shared" si="54"/>
        <v/>
      </c>
      <c r="AJ312" s="140"/>
      <c r="AK312" s="28" t="str">
        <f t="shared" si="55"/>
        <v/>
      </c>
      <c r="AL312" s="111" t="str">
        <f t="shared" si="56"/>
        <v/>
      </c>
      <c r="AM312" s="111" t="str">
        <f t="shared" si="57"/>
        <v/>
      </c>
      <c r="AN312" s="178"/>
      <c r="AO312" s="178"/>
      <c r="AP312" s="178"/>
      <c r="AQ312" s="178"/>
      <c r="AR312" s="178"/>
      <c r="AS312" s="178"/>
      <c r="AT312" s="178"/>
      <c r="AU312" s="179" t="str">
        <f>IFERROR(VLOOKUP(AT312,'Seguridad Información'!$I$61:$J$65,2,0),"")</f>
        <v/>
      </c>
      <c r="AV312" s="83"/>
      <c r="AW312" s="82" t="str">
        <f t="shared" si="48"/>
        <v/>
      </c>
      <c r="AX312" s="81" t="str">
        <f t="shared" si="58"/>
        <v/>
      </c>
      <c r="AY312" s="22" t="str">
        <f>IFERROR(VLOOKUP((CONCATENATE(AM312,AX312)),Listados!$U$3:$V$11,2,FALSE),"")</f>
        <v/>
      </c>
      <c r="AZ312" s="111">
        <f t="shared" si="59"/>
        <v>100</v>
      </c>
      <c r="BA312" s="718"/>
      <c r="BB312" s="761"/>
      <c r="BC312" s="142">
        <f>+IF(AND(W312="Preventivo",BB307="Fuerte"),2,IF(AND(W312="Preventivo",BB307="Moderado"),1,0))</f>
        <v>0</v>
      </c>
      <c r="BD312" s="68">
        <f>+IF(AND(W312="Detectivo/Correctivo",$BB307="Fuerte"),2,IF(AND(W312="Detectivo/Correctivo",$BB312="Moderado"),1,IF(AND(W312="Preventivo",$BB307="Fuerte"),1,0)))</f>
        <v>0</v>
      </c>
      <c r="BE312" s="142" t="e">
        <f>+N307-BC312</f>
        <v>#N/A</v>
      </c>
      <c r="BF312" s="142" t="e">
        <f>+P307-BD312</f>
        <v>#N/A</v>
      </c>
      <c r="BG312" s="714"/>
      <c r="BH312" s="714"/>
      <c r="BI312" s="714"/>
      <c r="BJ312" s="804"/>
      <c r="BK312" s="804"/>
      <c r="BL312" s="804"/>
      <c r="BM312" s="804"/>
    </row>
    <row r="313" spans="1:65" ht="65.150000000000006" customHeight="1" thickBot="1">
      <c r="A313" s="723">
        <v>52</v>
      </c>
      <c r="B313" s="811"/>
      <c r="C313" s="729" t="str">
        <f>IFERROR(VLOOKUP(B313,Listados!B$3:C$20,2,FALSE),"")</f>
        <v/>
      </c>
      <c r="D313" s="114"/>
      <c r="E313" s="114"/>
      <c r="F313" s="813"/>
      <c r="G313" s="735"/>
      <c r="H313" s="105"/>
      <c r="I313" s="161"/>
      <c r="J313" s="105"/>
      <c r="K313" s="109"/>
      <c r="L313" s="18"/>
      <c r="M313" s="762"/>
      <c r="N313" s="719" t="e">
        <f>+VLOOKUP(M313,Listados!$K$8:$L$12,2,0)</f>
        <v>#N/A</v>
      </c>
      <c r="O313" s="809"/>
      <c r="P313" s="719" t="e">
        <f>+VLOOKUP(O313,Listados!$K$13:$L$17,2,0)</f>
        <v>#N/A</v>
      </c>
      <c r="Q313" s="714" t="str">
        <f>IF(AND(M313&lt;&gt;"",O313&lt;&gt;""),VLOOKUP(M313&amp;O313,Listados!$M$3:$N$27,2,FALSE),"")</f>
        <v/>
      </c>
      <c r="R313" s="712" t="e">
        <f>+VLOOKUP(Q313,Listados!$P$3:$Q$6,2,FALSE)</f>
        <v>#N/A</v>
      </c>
      <c r="S313" s="140"/>
      <c r="T313" s="98"/>
      <c r="U313" s="52" t="s">
        <v>467</v>
      </c>
      <c r="V313" s="145"/>
      <c r="W313" s="145"/>
      <c r="X313" s="145"/>
      <c r="Y313" s="99" t="str">
        <f t="shared" si="49"/>
        <v/>
      </c>
      <c r="Z313" s="145"/>
      <c r="AA313" s="99" t="str">
        <f t="shared" si="50"/>
        <v/>
      </c>
      <c r="AB313" s="140"/>
      <c r="AC313" s="99" t="str">
        <f t="shared" si="51"/>
        <v/>
      </c>
      <c r="AD313" s="140"/>
      <c r="AE313" s="99" t="str">
        <f t="shared" si="52"/>
        <v/>
      </c>
      <c r="AF313" s="140"/>
      <c r="AG313" s="99" t="str">
        <f t="shared" si="53"/>
        <v/>
      </c>
      <c r="AH313" s="140"/>
      <c r="AI313" s="99" t="str">
        <f t="shared" si="54"/>
        <v/>
      </c>
      <c r="AJ313" s="140"/>
      <c r="AK313" s="28" t="str">
        <f t="shared" si="55"/>
        <v/>
      </c>
      <c r="AL313" s="111" t="str">
        <f t="shared" si="56"/>
        <v/>
      </c>
      <c r="AM313" s="111" t="str">
        <f t="shared" si="57"/>
        <v/>
      </c>
      <c r="AN313" s="178"/>
      <c r="AO313" s="178"/>
      <c r="AP313" s="178"/>
      <c r="AQ313" s="178"/>
      <c r="AR313" s="178"/>
      <c r="AS313" s="178"/>
      <c r="AT313" s="178"/>
      <c r="AU313" s="179" t="str">
        <f>IFERROR(VLOOKUP(AT313,'Seguridad Información'!$I$61:$J$65,2,0),"")</f>
        <v/>
      </c>
      <c r="AV313" s="83"/>
      <c r="AW313" s="82" t="str">
        <f t="shared" si="48"/>
        <v/>
      </c>
      <c r="AX313" s="81" t="str">
        <f t="shared" si="58"/>
        <v/>
      </c>
      <c r="AY313" s="22" t="str">
        <f>IFERROR(VLOOKUP((CONCATENATE(AM313,AX313)),Listados!$U$3:$V$11,2,FALSE),"")</f>
        <v/>
      </c>
      <c r="AZ313" s="111">
        <f t="shared" si="59"/>
        <v>100</v>
      </c>
      <c r="BA313" s="716">
        <f>AVERAGE(AZ313:AZ318)</f>
        <v>100</v>
      </c>
      <c r="BB313" s="718" t="str">
        <f>IF(BA313&lt;=50, "Débil", IF(BA313&lt;=99,"Moderado","Fuerte"))</f>
        <v>Fuerte</v>
      </c>
      <c r="BC313" s="142">
        <f>+IF(AND(W313="Preventivo",BB313="Fuerte"),2,IF(AND(W313="Preventivo",BB313="Moderado"),1,0))</f>
        <v>0</v>
      </c>
      <c r="BD313" s="68">
        <f>+IF(AND(W313="Detectivo/Correctivo",$BB313="Fuerte"),2,IF(AND(W313="Detectivo/Correctivo",$BB313="Moderado"),1,IF(AND(W313="Preventivo",$BB313="Fuerte"),1,0)))</f>
        <v>0</v>
      </c>
      <c r="BE313" s="142" t="e">
        <f>+N313-BC313</f>
        <v>#N/A</v>
      </c>
      <c r="BF313" s="142" t="e">
        <f>+P313-BD313</f>
        <v>#N/A</v>
      </c>
      <c r="BG313" s="712" t="e">
        <f>+VLOOKUP(MIN(BE313,BE314,BE315,BE316,BE317,BE318),Listados!$J$18:$K$24,2,TRUE)</f>
        <v>#N/A</v>
      </c>
      <c r="BH313" s="712" t="e">
        <f>+VLOOKUP(MIN(BF313,BF314,BF315,BF316,BF317,BF318),Listados!$J$27:$K$32,2,TRUE)</f>
        <v>#N/A</v>
      </c>
      <c r="BI313" s="712" t="e">
        <f>IF(AND(BG313&lt;&gt;"",BH313&lt;&gt;""),VLOOKUP(BG313&amp;BH313,Listados!$M$3:$N$27,2,FALSE),"")</f>
        <v>#N/A</v>
      </c>
      <c r="BJ313" s="802" t="e">
        <f>+IF($R313="Asumir el riesgo","NA","")</f>
        <v>#N/A</v>
      </c>
      <c r="BK313" s="802" t="e">
        <f>+IF($R313="Asumir el riesgo","NA","")</f>
        <v>#N/A</v>
      </c>
      <c r="BL313" s="802" t="e">
        <f>+IF($R313="Asumir el riesgo","NA","")</f>
        <v>#N/A</v>
      </c>
      <c r="BM313" s="802" t="e">
        <f>+IF($R313="Asumir el riesgo","NA","")</f>
        <v>#N/A</v>
      </c>
    </row>
    <row r="314" spans="1:65" ht="65.150000000000006" customHeight="1" thickBot="1">
      <c r="A314" s="724"/>
      <c r="B314" s="812"/>
      <c r="C314" s="730"/>
      <c r="D314" s="158"/>
      <c r="E314" s="158"/>
      <c r="F314" s="814"/>
      <c r="G314" s="736"/>
      <c r="H314" s="105"/>
      <c r="I314" s="161"/>
      <c r="J314" s="105"/>
      <c r="K314" s="160"/>
      <c r="L314" s="150"/>
      <c r="M314" s="727"/>
      <c r="N314" s="720"/>
      <c r="O314" s="810"/>
      <c r="P314" s="720"/>
      <c r="Q314" s="715"/>
      <c r="R314" s="713"/>
      <c r="S314" s="140"/>
      <c r="T314" s="180"/>
      <c r="U314" s="52" t="s">
        <v>467</v>
      </c>
      <c r="V314" s="145"/>
      <c r="W314" s="145"/>
      <c r="X314" s="145"/>
      <c r="Y314" s="99" t="str">
        <f t="shared" si="49"/>
        <v/>
      </c>
      <c r="Z314" s="145"/>
      <c r="AA314" s="99" t="str">
        <f t="shared" si="50"/>
        <v/>
      </c>
      <c r="AB314" s="140"/>
      <c r="AC314" s="99" t="str">
        <f t="shared" si="51"/>
        <v/>
      </c>
      <c r="AD314" s="140"/>
      <c r="AE314" s="99" t="str">
        <f t="shared" si="52"/>
        <v/>
      </c>
      <c r="AF314" s="140"/>
      <c r="AG314" s="99" t="str">
        <f t="shared" si="53"/>
        <v/>
      </c>
      <c r="AH314" s="140"/>
      <c r="AI314" s="99" t="str">
        <f t="shared" si="54"/>
        <v/>
      </c>
      <c r="AJ314" s="140"/>
      <c r="AK314" s="28" t="str">
        <f t="shared" si="55"/>
        <v/>
      </c>
      <c r="AL314" s="111" t="str">
        <f t="shared" si="56"/>
        <v/>
      </c>
      <c r="AM314" s="111" t="str">
        <f t="shared" si="57"/>
        <v/>
      </c>
      <c r="AN314" s="178"/>
      <c r="AO314" s="178"/>
      <c r="AP314" s="178"/>
      <c r="AQ314" s="178"/>
      <c r="AR314" s="178"/>
      <c r="AS314" s="178"/>
      <c r="AT314" s="178"/>
      <c r="AU314" s="179" t="str">
        <f>IFERROR(VLOOKUP(AT314,'Seguridad Información'!$I$61:$J$65,2,0),"")</f>
        <v/>
      </c>
      <c r="AV314" s="83"/>
      <c r="AW314" s="82" t="str">
        <f t="shared" si="48"/>
        <v/>
      </c>
      <c r="AX314" s="81" t="str">
        <f t="shared" si="58"/>
        <v/>
      </c>
      <c r="AY314" s="22" t="str">
        <f>IFERROR(VLOOKUP((CONCATENATE(AM314,AX314)),Listados!$U$3:$V$11,2,FALSE),"")</f>
        <v/>
      </c>
      <c r="AZ314" s="111">
        <f t="shared" si="59"/>
        <v>100</v>
      </c>
      <c r="BA314" s="717"/>
      <c r="BB314" s="761"/>
      <c r="BC314" s="142">
        <f>+IF(AND(W314="Preventivo",BB313="Fuerte"),2,IF(AND(W314="Preventivo",BB313="Moderado"),1,0))</f>
        <v>0</v>
      </c>
      <c r="BD314" s="68">
        <f>+IF(AND(W314="Detectivo/Correctivo",$BB313="Fuerte"),2,IF(AND(W314="Detectivo/Correctivo",$BB314="Moderado"),1,IF(AND(W314="Preventivo",$BB313="Fuerte"),1,0)))</f>
        <v>0</v>
      </c>
      <c r="BE314" s="142" t="e">
        <f>+N313-BC314</f>
        <v>#N/A</v>
      </c>
      <c r="BF314" s="142" t="e">
        <f>+P313-BD314</f>
        <v>#N/A</v>
      </c>
      <c r="BG314" s="713"/>
      <c r="BH314" s="713"/>
      <c r="BI314" s="713"/>
      <c r="BJ314" s="803"/>
      <c r="BK314" s="803"/>
      <c r="BL314" s="803"/>
      <c r="BM314" s="803"/>
    </row>
    <row r="315" spans="1:65" ht="65.150000000000006" customHeight="1" thickBot="1">
      <c r="A315" s="724"/>
      <c r="B315" s="812"/>
      <c r="C315" s="730"/>
      <c r="D315" s="158"/>
      <c r="E315" s="158"/>
      <c r="F315" s="814"/>
      <c r="G315" s="736"/>
      <c r="H315" s="105"/>
      <c r="I315" s="161"/>
      <c r="J315" s="105"/>
      <c r="K315" s="160"/>
      <c r="L315" s="150"/>
      <c r="M315" s="727"/>
      <c r="N315" s="720"/>
      <c r="O315" s="810"/>
      <c r="P315" s="720"/>
      <c r="Q315" s="715"/>
      <c r="R315" s="713"/>
      <c r="S315" s="140"/>
      <c r="T315" s="100"/>
      <c r="U315" s="52" t="s">
        <v>467</v>
      </c>
      <c r="V315" s="145"/>
      <c r="W315" s="145"/>
      <c r="X315" s="145"/>
      <c r="Y315" s="99" t="str">
        <f t="shared" si="49"/>
        <v/>
      </c>
      <c r="Z315" s="145"/>
      <c r="AA315" s="99" t="str">
        <f t="shared" si="50"/>
        <v/>
      </c>
      <c r="AB315" s="140"/>
      <c r="AC315" s="99" t="str">
        <f t="shared" si="51"/>
        <v/>
      </c>
      <c r="AD315" s="140"/>
      <c r="AE315" s="99" t="str">
        <f t="shared" si="52"/>
        <v/>
      </c>
      <c r="AF315" s="140"/>
      <c r="AG315" s="99" t="str">
        <f t="shared" si="53"/>
        <v/>
      </c>
      <c r="AH315" s="140"/>
      <c r="AI315" s="99" t="str">
        <f t="shared" si="54"/>
        <v/>
      </c>
      <c r="AJ315" s="140"/>
      <c r="AK315" s="28" t="str">
        <f t="shared" si="55"/>
        <v/>
      </c>
      <c r="AL315" s="111" t="str">
        <f t="shared" si="56"/>
        <v/>
      </c>
      <c r="AM315" s="111" t="str">
        <f t="shared" si="57"/>
        <v/>
      </c>
      <c r="AN315" s="178"/>
      <c r="AO315" s="178"/>
      <c r="AP315" s="178"/>
      <c r="AQ315" s="178"/>
      <c r="AR315" s="178"/>
      <c r="AS315" s="178"/>
      <c r="AT315" s="178"/>
      <c r="AU315" s="179" t="str">
        <f>IFERROR(VLOOKUP(AT315,'Seguridad Información'!$I$61:$J$65,2,0),"")</f>
        <v/>
      </c>
      <c r="AV315" s="83"/>
      <c r="AW315" s="82" t="str">
        <f t="shared" si="48"/>
        <v/>
      </c>
      <c r="AX315" s="81" t="str">
        <f t="shared" si="58"/>
        <v/>
      </c>
      <c r="AY315" s="22" t="str">
        <f>IFERROR(VLOOKUP((CONCATENATE(AM315,AX315)),Listados!$U$3:$V$11,2,FALSE),"")</f>
        <v/>
      </c>
      <c r="AZ315" s="111">
        <f t="shared" si="59"/>
        <v>100</v>
      </c>
      <c r="BA315" s="717"/>
      <c r="BB315" s="761"/>
      <c r="BC315" s="142">
        <f>+IF(AND(W315="Preventivo",BB313="Fuerte"),2,IF(AND(W315="Preventivo",BB313="Moderado"),1,0))</f>
        <v>0</v>
      </c>
      <c r="BD315" s="68">
        <f>+IF(AND(W315="Detectivo/Correctivo",$BB313="Fuerte"),2,IF(AND(W315="Detectivo/Correctivo",$BB315="Moderado"),1,IF(AND(W315="Preventivo",$BB313="Fuerte"),1,0)))</f>
        <v>0</v>
      </c>
      <c r="BE315" s="142" t="e">
        <f>+N313-BC315</f>
        <v>#N/A</v>
      </c>
      <c r="BF315" s="142" t="e">
        <f>+P313-BD315</f>
        <v>#N/A</v>
      </c>
      <c r="BG315" s="713"/>
      <c r="BH315" s="713"/>
      <c r="BI315" s="713"/>
      <c r="BJ315" s="803"/>
      <c r="BK315" s="803"/>
      <c r="BL315" s="803"/>
      <c r="BM315" s="803"/>
    </row>
    <row r="316" spans="1:65" ht="65.150000000000006" customHeight="1" thickBot="1">
      <c r="A316" s="724"/>
      <c r="B316" s="812"/>
      <c r="C316" s="730"/>
      <c r="D316" s="158"/>
      <c r="E316" s="158"/>
      <c r="F316" s="814"/>
      <c r="G316" s="736"/>
      <c r="H316" s="105"/>
      <c r="I316" s="161"/>
      <c r="J316" s="105"/>
      <c r="K316" s="160"/>
      <c r="L316" s="150"/>
      <c r="M316" s="727"/>
      <c r="N316" s="720"/>
      <c r="O316" s="810"/>
      <c r="P316" s="720"/>
      <c r="Q316" s="715"/>
      <c r="R316" s="713"/>
      <c r="S316" s="140"/>
      <c r="T316" s="101"/>
      <c r="U316" s="52" t="s">
        <v>467</v>
      </c>
      <c r="V316" s="145"/>
      <c r="W316" s="145"/>
      <c r="X316" s="145"/>
      <c r="Y316" s="99" t="str">
        <f t="shared" si="49"/>
        <v/>
      </c>
      <c r="Z316" s="145"/>
      <c r="AA316" s="99" t="str">
        <f t="shared" si="50"/>
        <v/>
      </c>
      <c r="AB316" s="140"/>
      <c r="AC316" s="99" t="str">
        <f t="shared" si="51"/>
        <v/>
      </c>
      <c r="AD316" s="140"/>
      <c r="AE316" s="99" t="str">
        <f t="shared" si="52"/>
        <v/>
      </c>
      <c r="AF316" s="140"/>
      <c r="AG316" s="99" t="str">
        <f t="shared" si="53"/>
        <v/>
      </c>
      <c r="AH316" s="140"/>
      <c r="AI316" s="99" t="str">
        <f t="shared" si="54"/>
        <v/>
      </c>
      <c r="AJ316" s="140"/>
      <c r="AK316" s="28" t="str">
        <f t="shared" si="55"/>
        <v/>
      </c>
      <c r="AL316" s="111" t="str">
        <f t="shared" si="56"/>
        <v/>
      </c>
      <c r="AM316" s="111" t="str">
        <f t="shared" si="57"/>
        <v/>
      </c>
      <c r="AN316" s="178"/>
      <c r="AO316" s="178"/>
      <c r="AP316" s="178"/>
      <c r="AQ316" s="178"/>
      <c r="AR316" s="178"/>
      <c r="AS316" s="178"/>
      <c r="AT316" s="178"/>
      <c r="AU316" s="179" t="str">
        <f>IFERROR(VLOOKUP(AT316,'Seguridad Información'!$I$61:$J$65,2,0),"")</f>
        <v/>
      </c>
      <c r="AV316" s="83"/>
      <c r="AW316" s="82" t="str">
        <f t="shared" si="48"/>
        <v/>
      </c>
      <c r="AX316" s="81" t="str">
        <f t="shared" si="58"/>
        <v/>
      </c>
      <c r="AY316" s="22" t="str">
        <f>IFERROR(VLOOKUP((CONCATENATE(AM316,AX316)),Listados!$U$3:$V$11,2,FALSE),"")</f>
        <v/>
      </c>
      <c r="AZ316" s="111">
        <f t="shared" si="59"/>
        <v>100</v>
      </c>
      <c r="BA316" s="717"/>
      <c r="BB316" s="761"/>
      <c r="BC316" s="142">
        <f>+IF(AND(W316="Preventivo",BB313="Fuerte"),2,IF(AND(W316="Preventivo",BB313="Moderado"),1,0))</f>
        <v>0</v>
      </c>
      <c r="BD316" s="68">
        <f>+IF(AND(W316="Detectivo/Correctivo",$BB313="Fuerte"),2,IF(AND(W316="Detectivo/Correctivo",$BB316="Moderado"),1,IF(AND(W316="Preventivo",$BB313="Fuerte"),1,0)))</f>
        <v>0</v>
      </c>
      <c r="BE316" s="142" t="e">
        <f>+N313-BC316</f>
        <v>#N/A</v>
      </c>
      <c r="BF316" s="142" t="e">
        <f>+P313-BD316</f>
        <v>#N/A</v>
      </c>
      <c r="BG316" s="713"/>
      <c r="BH316" s="713"/>
      <c r="BI316" s="713"/>
      <c r="BJ316" s="803"/>
      <c r="BK316" s="803"/>
      <c r="BL316" s="803"/>
      <c r="BM316" s="803"/>
    </row>
    <row r="317" spans="1:65" ht="65.150000000000006" customHeight="1" thickBot="1">
      <c r="A317" s="724"/>
      <c r="B317" s="812"/>
      <c r="C317" s="730"/>
      <c r="D317" s="116"/>
      <c r="E317" s="116"/>
      <c r="F317" s="814"/>
      <c r="G317" s="736"/>
      <c r="H317" s="105"/>
      <c r="I317" s="161"/>
      <c r="J317" s="105"/>
      <c r="K317" s="29"/>
      <c r="L317" s="150"/>
      <c r="M317" s="727"/>
      <c r="N317" s="720"/>
      <c r="O317" s="810"/>
      <c r="P317" s="720"/>
      <c r="Q317" s="715"/>
      <c r="R317" s="713"/>
      <c r="S317" s="140"/>
      <c r="T317" s="180"/>
      <c r="U317" s="52" t="s">
        <v>467</v>
      </c>
      <c r="V317" s="145"/>
      <c r="W317" s="145"/>
      <c r="X317" s="145"/>
      <c r="Y317" s="99" t="str">
        <f t="shared" si="49"/>
        <v/>
      </c>
      <c r="Z317" s="145"/>
      <c r="AA317" s="99" t="str">
        <f t="shared" si="50"/>
        <v/>
      </c>
      <c r="AB317" s="140"/>
      <c r="AC317" s="99" t="str">
        <f t="shared" si="51"/>
        <v/>
      </c>
      <c r="AD317" s="140"/>
      <c r="AE317" s="99" t="str">
        <f t="shared" si="52"/>
        <v/>
      </c>
      <c r="AF317" s="140"/>
      <c r="AG317" s="99" t="str">
        <f t="shared" si="53"/>
        <v/>
      </c>
      <c r="AH317" s="140"/>
      <c r="AI317" s="99" t="str">
        <f t="shared" si="54"/>
        <v/>
      </c>
      <c r="AJ317" s="140"/>
      <c r="AK317" s="28" t="str">
        <f t="shared" si="55"/>
        <v/>
      </c>
      <c r="AL317" s="111" t="str">
        <f t="shared" si="56"/>
        <v/>
      </c>
      <c r="AM317" s="111" t="str">
        <f t="shared" si="57"/>
        <v/>
      </c>
      <c r="AN317" s="178"/>
      <c r="AO317" s="178"/>
      <c r="AP317" s="178"/>
      <c r="AQ317" s="178"/>
      <c r="AR317" s="178"/>
      <c r="AS317" s="178"/>
      <c r="AT317" s="178"/>
      <c r="AU317" s="179" t="str">
        <f>IFERROR(VLOOKUP(AT317,'Seguridad Información'!$I$61:$J$65,2,0),"")</f>
        <v/>
      </c>
      <c r="AV317" s="83"/>
      <c r="AW317" s="82" t="str">
        <f t="shared" si="48"/>
        <v/>
      </c>
      <c r="AX317" s="81" t="str">
        <f t="shared" si="58"/>
        <v/>
      </c>
      <c r="AY317" s="22" t="str">
        <f>IFERROR(VLOOKUP((CONCATENATE(AM317,AX317)),Listados!$U$3:$V$11,2,FALSE),"")</f>
        <v/>
      </c>
      <c r="AZ317" s="111">
        <f t="shared" si="59"/>
        <v>100</v>
      </c>
      <c r="BA317" s="717"/>
      <c r="BB317" s="761"/>
      <c r="BC317" s="142">
        <f>+IF(AND(W317="Preventivo",BB313="Fuerte"),2,IF(AND(W317="Preventivo",BB313="Moderado"),1,0))</f>
        <v>0</v>
      </c>
      <c r="BD317" s="68">
        <f>+IF(AND(W317="Detectivo/Correctivo",$BB313="Fuerte"),2,IF(AND(W317="Detectivo/Correctivo",$BB317="Moderado"),1,IF(AND(W317="Preventivo",$BB313="Fuerte"),1,0)))</f>
        <v>0</v>
      </c>
      <c r="BE317" s="142" t="e">
        <f>+N313-BC317</f>
        <v>#N/A</v>
      </c>
      <c r="BF317" s="142" t="e">
        <f>+P313-BD317</f>
        <v>#N/A</v>
      </c>
      <c r="BG317" s="713"/>
      <c r="BH317" s="713"/>
      <c r="BI317" s="713"/>
      <c r="BJ317" s="803"/>
      <c r="BK317" s="803"/>
      <c r="BL317" s="803"/>
      <c r="BM317" s="803"/>
    </row>
    <row r="318" spans="1:65" ht="65.150000000000006" customHeight="1" thickBot="1">
      <c r="A318" s="725"/>
      <c r="B318" s="812"/>
      <c r="C318" s="731"/>
      <c r="D318" s="113"/>
      <c r="E318" s="113"/>
      <c r="F318" s="815"/>
      <c r="G318" s="781"/>
      <c r="H318" s="105"/>
      <c r="I318" s="161"/>
      <c r="J318" s="105"/>
      <c r="K318" s="30"/>
      <c r="L318" s="150"/>
      <c r="M318" s="727"/>
      <c r="N318" s="721"/>
      <c r="O318" s="810"/>
      <c r="P318" s="721"/>
      <c r="Q318" s="715"/>
      <c r="R318" s="714"/>
      <c r="S318" s="140"/>
      <c r="T318" s="102"/>
      <c r="U318" s="52" t="s">
        <v>467</v>
      </c>
      <c r="V318" s="145"/>
      <c r="W318" s="145"/>
      <c r="X318" s="145"/>
      <c r="Y318" s="99" t="str">
        <f t="shared" si="49"/>
        <v/>
      </c>
      <c r="Z318" s="145"/>
      <c r="AA318" s="99" t="str">
        <f t="shared" si="50"/>
        <v/>
      </c>
      <c r="AB318" s="140"/>
      <c r="AC318" s="99" t="str">
        <f t="shared" si="51"/>
        <v/>
      </c>
      <c r="AD318" s="140"/>
      <c r="AE318" s="99" t="str">
        <f t="shared" si="52"/>
        <v/>
      </c>
      <c r="AF318" s="140"/>
      <c r="AG318" s="99" t="str">
        <f t="shared" si="53"/>
        <v/>
      </c>
      <c r="AH318" s="140"/>
      <c r="AI318" s="99" t="str">
        <f t="shared" si="54"/>
        <v/>
      </c>
      <c r="AJ318" s="140"/>
      <c r="AK318" s="28" t="str">
        <f t="shared" si="55"/>
        <v/>
      </c>
      <c r="AL318" s="111" t="str">
        <f t="shared" si="56"/>
        <v/>
      </c>
      <c r="AM318" s="111" t="str">
        <f t="shared" si="57"/>
        <v/>
      </c>
      <c r="AN318" s="178"/>
      <c r="AO318" s="178"/>
      <c r="AP318" s="178"/>
      <c r="AQ318" s="178"/>
      <c r="AR318" s="178"/>
      <c r="AS318" s="178"/>
      <c r="AT318" s="178"/>
      <c r="AU318" s="179" t="str">
        <f>IFERROR(VLOOKUP(AT318,'Seguridad Información'!$I$61:$J$65,2,0),"")</f>
        <v/>
      </c>
      <c r="AV318" s="83"/>
      <c r="AW318" s="82" t="str">
        <f t="shared" si="48"/>
        <v/>
      </c>
      <c r="AX318" s="81" t="str">
        <f t="shared" si="58"/>
        <v/>
      </c>
      <c r="AY318" s="22" t="str">
        <f>IFERROR(VLOOKUP((CONCATENATE(AM318,AX318)),Listados!$U$3:$V$11,2,FALSE),"")</f>
        <v/>
      </c>
      <c r="AZ318" s="111">
        <f t="shared" si="59"/>
        <v>100</v>
      </c>
      <c r="BA318" s="718"/>
      <c r="BB318" s="761"/>
      <c r="BC318" s="142">
        <f>+IF(AND(W318="Preventivo",BB313="Fuerte"),2,IF(AND(W318="Preventivo",BB313="Moderado"),1,0))</f>
        <v>0</v>
      </c>
      <c r="BD318" s="68">
        <f>+IF(AND(W318="Detectivo/Correctivo",$BB313="Fuerte"),2,IF(AND(W318="Detectivo/Correctivo",$BB318="Moderado"),1,IF(AND(W318="Preventivo",$BB313="Fuerte"),1,0)))</f>
        <v>0</v>
      </c>
      <c r="BE318" s="142" t="e">
        <f>+N313-BC318</f>
        <v>#N/A</v>
      </c>
      <c r="BF318" s="142" t="e">
        <f>+P313-BD318</f>
        <v>#N/A</v>
      </c>
      <c r="BG318" s="714"/>
      <c r="BH318" s="714"/>
      <c r="BI318" s="714"/>
      <c r="BJ318" s="804"/>
      <c r="BK318" s="804"/>
      <c r="BL318" s="804"/>
      <c r="BM318" s="804"/>
    </row>
    <row r="319" spans="1:65" ht="65.150000000000006" customHeight="1" thickBot="1">
      <c r="A319" s="723">
        <v>53</v>
      </c>
      <c r="B319" s="811"/>
      <c r="C319" s="729" t="str">
        <f>IFERROR(VLOOKUP(B319,Listados!B$3:C$20,2,FALSE),"")</f>
        <v/>
      </c>
      <c r="D319" s="114"/>
      <c r="E319" s="114"/>
      <c r="F319" s="813"/>
      <c r="G319" s="735"/>
      <c r="H319" s="105"/>
      <c r="I319" s="161"/>
      <c r="J319" s="105"/>
      <c r="K319" s="109"/>
      <c r="L319" s="18"/>
      <c r="M319" s="762"/>
      <c r="N319" s="719" t="e">
        <f>+VLOOKUP(M319,Listados!$K$8:$L$12,2,0)</f>
        <v>#N/A</v>
      </c>
      <c r="O319" s="809"/>
      <c r="P319" s="719" t="e">
        <f>+VLOOKUP(O319,Listados!$K$13:$L$17,2,0)</f>
        <v>#N/A</v>
      </c>
      <c r="Q319" s="714" t="str">
        <f>IF(AND(M319&lt;&gt;"",O319&lt;&gt;""),VLOOKUP(M319&amp;O319,Listados!$M$3:$N$27,2,FALSE),"")</f>
        <v/>
      </c>
      <c r="R319" s="712" t="e">
        <f>+VLOOKUP(Q319,Listados!$P$3:$Q$6,2,FALSE)</f>
        <v>#N/A</v>
      </c>
      <c r="S319" s="140"/>
      <c r="T319" s="98"/>
      <c r="U319" s="52" t="s">
        <v>467</v>
      </c>
      <c r="V319" s="145"/>
      <c r="W319" s="145"/>
      <c r="X319" s="145"/>
      <c r="Y319" s="99" t="str">
        <f t="shared" si="49"/>
        <v/>
      </c>
      <c r="Z319" s="145"/>
      <c r="AA319" s="99" t="str">
        <f t="shared" si="50"/>
        <v/>
      </c>
      <c r="AB319" s="140"/>
      <c r="AC319" s="99" t="str">
        <f t="shared" si="51"/>
        <v/>
      </c>
      <c r="AD319" s="140"/>
      <c r="AE319" s="99" t="str">
        <f t="shared" si="52"/>
        <v/>
      </c>
      <c r="AF319" s="140"/>
      <c r="AG319" s="99" t="str">
        <f t="shared" si="53"/>
        <v/>
      </c>
      <c r="AH319" s="140"/>
      <c r="AI319" s="99" t="str">
        <f t="shared" si="54"/>
        <v/>
      </c>
      <c r="AJ319" s="140"/>
      <c r="AK319" s="28" t="str">
        <f t="shared" si="55"/>
        <v/>
      </c>
      <c r="AL319" s="111" t="str">
        <f t="shared" si="56"/>
        <v/>
      </c>
      <c r="AM319" s="111" t="str">
        <f t="shared" si="57"/>
        <v/>
      </c>
      <c r="AN319" s="178"/>
      <c r="AO319" s="178"/>
      <c r="AP319" s="178"/>
      <c r="AQ319" s="178"/>
      <c r="AR319" s="178"/>
      <c r="AS319" s="178"/>
      <c r="AT319" s="178"/>
      <c r="AU319" s="179" t="str">
        <f>IFERROR(VLOOKUP(AT319,'Seguridad Información'!$I$61:$J$65,2,0),"")</f>
        <v/>
      </c>
      <c r="AV319" s="83"/>
      <c r="AW319" s="82" t="str">
        <f t="shared" si="48"/>
        <v/>
      </c>
      <c r="AX319" s="81" t="str">
        <f t="shared" si="58"/>
        <v/>
      </c>
      <c r="AY319" s="22" t="str">
        <f>IFERROR(VLOOKUP((CONCATENATE(AM319,AX319)),Listados!$U$3:$V$11,2,FALSE),"")</f>
        <v/>
      </c>
      <c r="AZ319" s="111">
        <f t="shared" si="59"/>
        <v>100</v>
      </c>
      <c r="BA319" s="716">
        <f>AVERAGE(AZ319:AZ324)</f>
        <v>100</v>
      </c>
      <c r="BB319" s="718" t="str">
        <f>IF(BA319&lt;=50, "Débil", IF(BA319&lt;=99,"Moderado","Fuerte"))</f>
        <v>Fuerte</v>
      </c>
      <c r="BC319" s="142">
        <f>+IF(AND(W319="Preventivo",BB319="Fuerte"),2,IF(AND(W319="Preventivo",BB319="Moderado"),1,0))</f>
        <v>0</v>
      </c>
      <c r="BD319" s="68">
        <f>+IF(AND(W319="Detectivo/Correctivo",$BB319="Fuerte"),2,IF(AND(W319="Detectivo/Correctivo",$BB319="Moderado"),1,IF(AND(W319="Preventivo",$BB319="Fuerte"),1,0)))</f>
        <v>0</v>
      </c>
      <c r="BE319" s="142" t="e">
        <f>+N319-BC319</f>
        <v>#N/A</v>
      </c>
      <c r="BF319" s="142" t="e">
        <f>+P319-BD319</f>
        <v>#N/A</v>
      </c>
      <c r="BG319" s="712" t="e">
        <f>+VLOOKUP(MIN(BE319,BE320,BE321,BE322,BE323,BE324),Listados!$J$18:$K$24,2,TRUE)</f>
        <v>#N/A</v>
      </c>
      <c r="BH319" s="712" t="e">
        <f>+VLOOKUP(MIN(BF319,BF320,BF321,BF322,BF323,BF324),Listados!$J$27:$K$32,2,TRUE)</f>
        <v>#N/A</v>
      </c>
      <c r="BI319" s="712" t="e">
        <f>IF(AND(BG319&lt;&gt;"",BH319&lt;&gt;""),VLOOKUP(BG319&amp;BH319,Listados!$M$3:$N$27,2,FALSE),"")</f>
        <v>#N/A</v>
      </c>
      <c r="BJ319" s="802" t="e">
        <f>+IF($R319="Asumir el riesgo","NA","")</f>
        <v>#N/A</v>
      </c>
      <c r="BK319" s="802" t="e">
        <f>+IF($R319="Asumir el riesgo","NA","")</f>
        <v>#N/A</v>
      </c>
      <c r="BL319" s="802" t="e">
        <f>+IF($R319="Asumir el riesgo","NA","")</f>
        <v>#N/A</v>
      </c>
      <c r="BM319" s="802" t="e">
        <f>+IF($R319="Asumir el riesgo","NA","")</f>
        <v>#N/A</v>
      </c>
    </row>
    <row r="320" spans="1:65" ht="65.150000000000006" customHeight="1" thickBot="1">
      <c r="A320" s="724"/>
      <c r="B320" s="812"/>
      <c r="C320" s="730"/>
      <c r="D320" s="158"/>
      <c r="E320" s="158"/>
      <c r="F320" s="814"/>
      <c r="G320" s="736"/>
      <c r="H320" s="105"/>
      <c r="I320" s="161"/>
      <c r="J320" s="105"/>
      <c r="K320" s="160"/>
      <c r="L320" s="150"/>
      <c r="M320" s="727"/>
      <c r="N320" s="720"/>
      <c r="O320" s="810"/>
      <c r="P320" s="720"/>
      <c r="Q320" s="715"/>
      <c r="R320" s="713"/>
      <c r="S320" s="140"/>
      <c r="T320" s="180"/>
      <c r="U320" s="52" t="s">
        <v>467</v>
      </c>
      <c r="V320" s="145"/>
      <c r="W320" s="145"/>
      <c r="X320" s="145"/>
      <c r="Y320" s="99" t="str">
        <f t="shared" si="49"/>
        <v/>
      </c>
      <c r="Z320" s="145"/>
      <c r="AA320" s="99" t="str">
        <f t="shared" si="50"/>
        <v/>
      </c>
      <c r="AB320" s="140"/>
      <c r="AC320" s="99" t="str">
        <f t="shared" si="51"/>
        <v/>
      </c>
      <c r="AD320" s="140"/>
      <c r="AE320" s="99" t="str">
        <f t="shared" si="52"/>
        <v/>
      </c>
      <c r="AF320" s="140"/>
      <c r="AG320" s="99" t="str">
        <f t="shared" si="53"/>
        <v/>
      </c>
      <c r="AH320" s="140"/>
      <c r="AI320" s="99" t="str">
        <f t="shared" si="54"/>
        <v/>
      </c>
      <c r="AJ320" s="140"/>
      <c r="AK320" s="28" t="str">
        <f t="shared" si="55"/>
        <v/>
      </c>
      <c r="AL320" s="111" t="str">
        <f t="shared" si="56"/>
        <v/>
      </c>
      <c r="AM320" s="111" t="str">
        <f t="shared" si="57"/>
        <v/>
      </c>
      <c r="AN320" s="178"/>
      <c r="AO320" s="178"/>
      <c r="AP320" s="178"/>
      <c r="AQ320" s="178"/>
      <c r="AR320" s="178"/>
      <c r="AS320" s="178"/>
      <c r="AT320" s="178"/>
      <c r="AU320" s="179" t="str">
        <f>IFERROR(VLOOKUP(AT320,'Seguridad Información'!$I$61:$J$65,2,0),"")</f>
        <v/>
      </c>
      <c r="AV320" s="83"/>
      <c r="AW320" s="82" t="str">
        <f t="shared" si="48"/>
        <v/>
      </c>
      <c r="AX320" s="81" t="str">
        <f t="shared" si="58"/>
        <v/>
      </c>
      <c r="AY320" s="22" t="str">
        <f>IFERROR(VLOOKUP((CONCATENATE(AM320,AX320)),Listados!$U$3:$V$11,2,FALSE),"")</f>
        <v/>
      </c>
      <c r="AZ320" s="111">
        <f t="shared" si="59"/>
        <v>100</v>
      </c>
      <c r="BA320" s="717"/>
      <c r="BB320" s="761"/>
      <c r="BC320" s="142">
        <f>+IF(AND(W320="Preventivo",BB319="Fuerte"),2,IF(AND(W320="Preventivo",BB319="Moderado"),1,0))</f>
        <v>0</v>
      </c>
      <c r="BD320" s="68">
        <f>+IF(AND(W320="Detectivo/Correctivo",$BB319="Fuerte"),2,IF(AND(W320="Detectivo/Correctivo",$BB320="Moderado"),1,IF(AND(W320="Preventivo",$BB319="Fuerte"),1,0)))</f>
        <v>0</v>
      </c>
      <c r="BE320" s="142" t="e">
        <f>+N319-BC320</f>
        <v>#N/A</v>
      </c>
      <c r="BF320" s="142" t="e">
        <f>+P319-BD320</f>
        <v>#N/A</v>
      </c>
      <c r="BG320" s="713"/>
      <c r="BH320" s="713"/>
      <c r="BI320" s="713"/>
      <c r="BJ320" s="803"/>
      <c r="BK320" s="803"/>
      <c r="BL320" s="803"/>
      <c r="BM320" s="803"/>
    </row>
    <row r="321" spans="1:65" ht="65.150000000000006" customHeight="1" thickBot="1">
      <c r="A321" s="724"/>
      <c r="B321" s="812"/>
      <c r="C321" s="730"/>
      <c r="D321" s="158"/>
      <c r="E321" s="158"/>
      <c r="F321" s="814"/>
      <c r="G321" s="736"/>
      <c r="H321" s="105"/>
      <c r="I321" s="161"/>
      <c r="J321" s="105"/>
      <c r="K321" s="160"/>
      <c r="L321" s="150"/>
      <c r="M321" s="727"/>
      <c r="N321" s="720"/>
      <c r="O321" s="810"/>
      <c r="P321" s="720"/>
      <c r="Q321" s="715"/>
      <c r="R321" s="713"/>
      <c r="S321" s="140"/>
      <c r="T321" s="100"/>
      <c r="U321" s="52" t="s">
        <v>467</v>
      </c>
      <c r="V321" s="145"/>
      <c r="W321" s="145"/>
      <c r="X321" s="145"/>
      <c r="Y321" s="99" t="str">
        <f t="shared" si="49"/>
        <v/>
      </c>
      <c r="Z321" s="145"/>
      <c r="AA321" s="99" t="str">
        <f t="shared" si="50"/>
        <v/>
      </c>
      <c r="AB321" s="140"/>
      <c r="AC321" s="99" t="str">
        <f t="shared" si="51"/>
        <v/>
      </c>
      <c r="AD321" s="140"/>
      <c r="AE321" s="99" t="str">
        <f t="shared" si="52"/>
        <v/>
      </c>
      <c r="AF321" s="140"/>
      <c r="AG321" s="99" t="str">
        <f t="shared" si="53"/>
        <v/>
      </c>
      <c r="AH321" s="140"/>
      <c r="AI321" s="99" t="str">
        <f t="shared" si="54"/>
        <v/>
      </c>
      <c r="AJ321" s="140"/>
      <c r="AK321" s="28" t="str">
        <f t="shared" si="55"/>
        <v/>
      </c>
      <c r="AL321" s="111" t="str">
        <f t="shared" si="56"/>
        <v/>
      </c>
      <c r="AM321" s="111" t="str">
        <f t="shared" si="57"/>
        <v/>
      </c>
      <c r="AN321" s="178"/>
      <c r="AO321" s="178"/>
      <c r="AP321" s="178"/>
      <c r="AQ321" s="178"/>
      <c r="AR321" s="178"/>
      <c r="AS321" s="178"/>
      <c r="AT321" s="178"/>
      <c r="AU321" s="179" t="str">
        <f>IFERROR(VLOOKUP(AT321,'Seguridad Información'!$I$61:$J$65,2,0),"")</f>
        <v/>
      </c>
      <c r="AV321" s="83"/>
      <c r="AW321" s="82" t="str">
        <f t="shared" si="48"/>
        <v/>
      </c>
      <c r="AX321" s="81" t="str">
        <f t="shared" si="58"/>
        <v/>
      </c>
      <c r="AY321" s="22" t="str">
        <f>IFERROR(VLOOKUP((CONCATENATE(AM321,AX321)),Listados!$U$3:$V$11,2,FALSE),"")</f>
        <v/>
      </c>
      <c r="AZ321" s="111">
        <f t="shared" si="59"/>
        <v>100</v>
      </c>
      <c r="BA321" s="717"/>
      <c r="BB321" s="761"/>
      <c r="BC321" s="142">
        <f>+IF(AND(W321="Preventivo",BB319="Fuerte"),2,IF(AND(W321="Preventivo",BB319="Moderado"),1,0))</f>
        <v>0</v>
      </c>
      <c r="BD321" s="68">
        <f>+IF(AND(W321="Detectivo/Correctivo",$BB319="Fuerte"),2,IF(AND(W321="Detectivo/Correctivo",$BB321="Moderado"),1,IF(AND(W321="Preventivo",$BB319="Fuerte"),1,0)))</f>
        <v>0</v>
      </c>
      <c r="BE321" s="142" t="e">
        <f>+N319-BC321</f>
        <v>#N/A</v>
      </c>
      <c r="BF321" s="142" t="e">
        <f>+P319-BD321</f>
        <v>#N/A</v>
      </c>
      <c r="BG321" s="713"/>
      <c r="BH321" s="713"/>
      <c r="BI321" s="713"/>
      <c r="BJ321" s="803"/>
      <c r="BK321" s="803"/>
      <c r="BL321" s="803"/>
      <c r="BM321" s="803"/>
    </row>
    <row r="322" spans="1:65" ht="65.150000000000006" customHeight="1" thickBot="1">
      <c r="A322" s="724"/>
      <c r="B322" s="812"/>
      <c r="C322" s="730"/>
      <c r="D322" s="158"/>
      <c r="E322" s="158"/>
      <c r="F322" s="814"/>
      <c r="G322" s="736"/>
      <c r="H322" s="105"/>
      <c r="I322" s="161"/>
      <c r="J322" s="105"/>
      <c r="K322" s="160"/>
      <c r="L322" s="150"/>
      <c r="M322" s="727"/>
      <c r="N322" s="720"/>
      <c r="O322" s="810"/>
      <c r="P322" s="720"/>
      <c r="Q322" s="715"/>
      <c r="R322" s="713"/>
      <c r="S322" s="140"/>
      <c r="T322" s="101"/>
      <c r="U322" s="52" t="s">
        <v>467</v>
      </c>
      <c r="V322" s="145"/>
      <c r="W322" s="145"/>
      <c r="X322" s="145"/>
      <c r="Y322" s="99" t="str">
        <f t="shared" si="49"/>
        <v/>
      </c>
      <c r="Z322" s="145"/>
      <c r="AA322" s="99" t="str">
        <f t="shared" si="50"/>
        <v/>
      </c>
      <c r="AB322" s="140"/>
      <c r="AC322" s="99" t="str">
        <f t="shared" si="51"/>
        <v/>
      </c>
      <c r="AD322" s="140"/>
      <c r="AE322" s="99" t="str">
        <f t="shared" si="52"/>
        <v/>
      </c>
      <c r="AF322" s="140"/>
      <c r="AG322" s="99" t="str">
        <f t="shared" si="53"/>
        <v/>
      </c>
      <c r="AH322" s="140"/>
      <c r="AI322" s="99" t="str">
        <f t="shared" si="54"/>
        <v/>
      </c>
      <c r="AJ322" s="140"/>
      <c r="AK322" s="28" t="str">
        <f t="shared" si="55"/>
        <v/>
      </c>
      <c r="AL322" s="111" t="str">
        <f t="shared" si="56"/>
        <v/>
      </c>
      <c r="AM322" s="111" t="str">
        <f t="shared" si="57"/>
        <v/>
      </c>
      <c r="AN322" s="178"/>
      <c r="AO322" s="178"/>
      <c r="AP322" s="178"/>
      <c r="AQ322" s="178"/>
      <c r="AR322" s="178"/>
      <c r="AS322" s="178"/>
      <c r="AT322" s="178"/>
      <c r="AU322" s="179" t="str">
        <f>IFERROR(VLOOKUP(AT322,'Seguridad Información'!$I$61:$J$65,2,0),"")</f>
        <v/>
      </c>
      <c r="AV322" s="83"/>
      <c r="AW322" s="82" t="str">
        <f t="shared" si="48"/>
        <v/>
      </c>
      <c r="AX322" s="81" t="str">
        <f t="shared" si="58"/>
        <v/>
      </c>
      <c r="AY322" s="22" t="str">
        <f>IFERROR(VLOOKUP((CONCATENATE(AM322,AX322)),Listados!$U$3:$V$11,2,FALSE),"")</f>
        <v/>
      </c>
      <c r="AZ322" s="111">
        <f t="shared" si="59"/>
        <v>100</v>
      </c>
      <c r="BA322" s="717"/>
      <c r="BB322" s="761"/>
      <c r="BC322" s="142">
        <f>+IF(AND(W322="Preventivo",BB319="Fuerte"),2,IF(AND(W322="Preventivo",BB319="Moderado"),1,0))</f>
        <v>0</v>
      </c>
      <c r="BD322" s="68">
        <f>+IF(AND(W322="Detectivo/Correctivo",$BB319="Fuerte"),2,IF(AND(W322="Detectivo/Correctivo",$BB322="Moderado"),1,IF(AND(W322="Preventivo",$BB319="Fuerte"),1,0)))</f>
        <v>0</v>
      </c>
      <c r="BE322" s="142" t="e">
        <f>+N319-BC322</f>
        <v>#N/A</v>
      </c>
      <c r="BF322" s="142" t="e">
        <f>+P319-BD322</f>
        <v>#N/A</v>
      </c>
      <c r="BG322" s="713"/>
      <c r="BH322" s="713"/>
      <c r="BI322" s="713"/>
      <c r="BJ322" s="803"/>
      <c r="BK322" s="803"/>
      <c r="BL322" s="803"/>
      <c r="BM322" s="803"/>
    </row>
    <row r="323" spans="1:65" ht="65.150000000000006" customHeight="1" thickBot="1">
      <c r="A323" s="724"/>
      <c r="B323" s="812"/>
      <c r="C323" s="730"/>
      <c r="D323" s="116"/>
      <c r="E323" s="116"/>
      <c r="F323" s="814"/>
      <c r="G323" s="736"/>
      <c r="H323" s="105"/>
      <c r="I323" s="161"/>
      <c r="J323" s="105"/>
      <c r="K323" s="29"/>
      <c r="L323" s="150"/>
      <c r="M323" s="727"/>
      <c r="N323" s="720"/>
      <c r="O323" s="810"/>
      <c r="P323" s="720"/>
      <c r="Q323" s="715"/>
      <c r="R323" s="713"/>
      <c r="S323" s="140"/>
      <c r="T323" s="180"/>
      <c r="U323" s="52" t="s">
        <v>467</v>
      </c>
      <c r="V323" s="145"/>
      <c r="W323" s="145"/>
      <c r="X323" s="145"/>
      <c r="Y323" s="99" t="str">
        <f t="shared" si="49"/>
        <v/>
      </c>
      <c r="Z323" s="145"/>
      <c r="AA323" s="99" t="str">
        <f t="shared" si="50"/>
        <v/>
      </c>
      <c r="AB323" s="140"/>
      <c r="AC323" s="99" t="str">
        <f t="shared" si="51"/>
        <v/>
      </c>
      <c r="AD323" s="140"/>
      <c r="AE323" s="99" t="str">
        <f t="shared" si="52"/>
        <v/>
      </c>
      <c r="AF323" s="140"/>
      <c r="AG323" s="99" t="str">
        <f t="shared" si="53"/>
        <v/>
      </c>
      <c r="AH323" s="140"/>
      <c r="AI323" s="99" t="str">
        <f t="shared" si="54"/>
        <v/>
      </c>
      <c r="AJ323" s="140"/>
      <c r="AK323" s="28" t="str">
        <f t="shared" si="55"/>
        <v/>
      </c>
      <c r="AL323" s="111" t="str">
        <f t="shared" si="56"/>
        <v/>
      </c>
      <c r="AM323" s="111" t="str">
        <f t="shared" si="57"/>
        <v/>
      </c>
      <c r="AN323" s="178"/>
      <c r="AO323" s="178"/>
      <c r="AP323" s="178"/>
      <c r="AQ323" s="178"/>
      <c r="AR323" s="178"/>
      <c r="AS323" s="178"/>
      <c r="AT323" s="178"/>
      <c r="AU323" s="179" t="str">
        <f>IFERROR(VLOOKUP(AT323,'Seguridad Información'!$I$61:$J$65,2,0),"")</f>
        <v/>
      </c>
      <c r="AV323" s="83"/>
      <c r="AW323" s="82" t="str">
        <f t="shared" si="48"/>
        <v/>
      </c>
      <c r="AX323" s="81" t="str">
        <f t="shared" si="58"/>
        <v/>
      </c>
      <c r="AY323" s="22" t="str">
        <f>IFERROR(VLOOKUP((CONCATENATE(AM323,AX323)),Listados!$U$3:$V$11,2,FALSE),"")</f>
        <v/>
      </c>
      <c r="AZ323" s="111">
        <f t="shared" si="59"/>
        <v>100</v>
      </c>
      <c r="BA323" s="717"/>
      <c r="BB323" s="761"/>
      <c r="BC323" s="142">
        <f>+IF(AND(W323="Preventivo",BB319="Fuerte"),2,IF(AND(W323="Preventivo",BB319="Moderado"),1,0))</f>
        <v>0</v>
      </c>
      <c r="BD323" s="68">
        <f>+IF(AND(W323="Detectivo/Correctivo",$BB319="Fuerte"),2,IF(AND(W323="Detectivo/Correctivo",$BB323="Moderado"),1,IF(AND(W323="Preventivo",$BB319="Fuerte"),1,0)))</f>
        <v>0</v>
      </c>
      <c r="BE323" s="142" t="e">
        <f>+N319-BC323</f>
        <v>#N/A</v>
      </c>
      <c r="BF323" s="142" t="e">
        <f>+P319-BD323</f>
        <v>#N/A</v>
      </c>
      <c r="BG323" s="713"/>
      <c r="BH323" s="713"/>
      <c r="BI323" s="713"/>
      <c r="BJ323" s="803"/>
      <c r="BK323" s="803"/>
      <c r="BL323" s="803"/>
      <c r="BM323" s="803"/>
    </row>
    <row r="324" spans="1:65" ht="65.150000000000006" customHeight="1" thickBot="1">
      <c r="A324" s="725"/>
      <c r="B324" s="812"/>
      <c r="C324" s="731"/>
      <c r="D324" s="113"/>
      <c r="E324" s="113"/>
      <c r="F324" s="815"/>
      <c r="G324" s="781"/>
      <c r="H324" s="105"/>
      <c r="I324" s="161"/>
      <c r="J324" s="105"/>
      <c r="K324" s="30"/>
      <c r="L324" s="150"/>
      <c r="M324" s="727"/>
      <c r="N324" s="721"/>
      <c r="O324" s="810"/>
      <c r="P324" s="721"/>
      <c r="Q324" s="715"/>
      <c r="R324" s="714"/>
      <c r="S324" s="140"/>
      <c r="T324" s="102"/>
      <c r="U324" s="52" t="s">
        <v>467</v>
      </c>
      <c r="V324" s="145"/>
      <c r="W324" s="145"/>
      <c r="X324" s="145"/>
      <c r="Y324" s="99" t="str">
        <f t="shared" si="49"/>
        <v/>
      </c>
      <c r="Z324" s="145"/>
      <c r="AA324" s="99" t="str">
        <f t="shared" si="50"/>
        <v/>
      </c>
      <c r="AB324" s="140"/>
      <c r="AC324" s="99" t="str">
        <f t="shared" si="51"/>
        <v/>
      </c>
      <c r="AD324" s="140"/>
      <c r="AE324" s="99" t="str">
        <f t="shared" si="52"/>
        <v/>
      </c>
      <c r="AF324" s="140"/>
      <c r="AG324" s="99" t="str">
        <f t="shared" si="53"/>
        <v/>
      </c>
      <c r="AH324" s="140"/>
      <c r="AI324" s="99" t="str">
        <f t="shared" si="54"/>
        <v/>
      </c>
      <c r="AJ324" s="140"/>
      <c r="AK324" s="28" t="str">
        <f t="shared" si="55"/>
        <v/>
      </c>
      <c r="AL324" s="111" t="str">
        <f t="shared" si="56"/>
        <v/>
      </c>
      <c r="AM324" s="111" t="str">
        <f t="shared" si="57"/>
        <v/>
      </c>
      <c r="AN324" s="178"/>
      <c r="AO324" s="178"/>
      <c r="AP324" s="178"/>
      <c r="AQ324" s="178"/>
      <c r="AR324" s="178"/>
      <c r="AS324" s="178"/>
      <c r="AT324" s="178"/>
      <c r="AU324" s="179" t="str">
        <f>IFERROR(VLOOKUP(AT324,'Seguridad Información'!$I$61:$J$65,2,0),"")</f>
        <v/>
      </c>
      <c r="AV324" s="83"/>
      <c r="AW324" s="82" t="str">
        <f t="shared" si="48"/>
        <v/>
      </c>
      <c r="AX324" s="81" t="str">
        <f t="shared" si="58"/>
        <v/>
      </c>
      <c r="AY324" s="22" t="str">
        <f>IFERROR(VLOOKUP((CONCATENATE(AM324,AX324)),Listados!$U$3:$V$11,2,FALSE),"")</f>
        <v/>
      </c>
      <c r="AZ324" s="111">
        <f t="shared" si="59"/>
        <v>100</v>
      </c>
      <c r="BA324" s="718"/>
      <c r="BB324" s="761"/>
      <c r="BC324" s="142">
        <f>+IF(AND(W324="Preventivo",BB319="Fuerte"),2,IF(AND(W324="Preventivo",BB319="Moderado"),1,0))</f>
        <v>0</v>
      </c>
      <c r="BD324" s="68">
        <f>+IF(AND(W324="Detectivo/Correctivo",$BB319="Fuerte"),2,IF(AND(W324="Detectivo/Correctivo",$BB324="Moderado"),1,IF(AND(W324="Preventivo",$BB319="Fuerte"),1,0)))</f>
        <v>0</v>
      </c>
      <c r="BE324" s="142" t="e">
        <f>+N319-BC324</f>
        <v>#N/A</v>
      </c>
      <c r="BF324" s="142" t="e">
        <f>+P319-BD324</f>
        <v>#N/A</v>
      </c>
      <c r="BG324" s="714"/>
      <c r="BH324" s="714"/>
      <c r="BI324" s="714"/>
      <c r="BJ324" s="804"/>
      <c r="BK324" s="804"/>
      <c r="BL324" s="804"/>
      <c r="BM324" s="804"/>
    </row>
    <row r="325" spans="1:65" ht="65.150000000000006" customHeight="1" thickBot="1">
      <c r="A325" s="723">
        <v>54</v>
      </c>
      <c r="B325" s="811"/>
      <c r="C325" s="729" t="str">
        <f>IFERROR(VLOOKUP(B325,Listados!B$3:C$20,2,FALSE),"")</f>
        <v/>
      </c>
      <c r="D325" s="114"/>
      <c r="E325" s="114"/>
      <c r="F325" s="813"/>
      <c r="G325" s="735"/>
      <c r="H325" s="105"/>
      <c r="I325" s="161"/>
      <c r="J325" s="105"/>
      <c r="K325" s="109"/>
      <c r="L325" s="18"/>
      <c r="M325" s="762"/>
      <c r="N325" s="719" t="e">
        <f>+VLOOKUP(M325,Listados!$K$8:$L$12,2,0)</f>
        <v>#N/A</v>
      </c>
      <c r="O325" s="809"/>
      <c r="P325" s="719" t="e">
        <f>+VLOOKUP(O325,Listados!$K$13:$L$17,2,0)</f>
        <v>#N/A</v>
      </c>
      <c r="Q325" s="714" t="str">
        <f>IF(AND(M325&lt;&gt;"",O325&lt;&gt;""),VLOOKUP(M325&amp;O325,Listados!$M$3:$N$27,2,FALSE),"")</f>
        <v/>
      </c>
      <c r="R325" s="712" t="e">
        <f>+VLOOKUP(Q325,Listados!$P$3:$Q$6,2,FALSE)</f>
        <v>#N/A</v>
      </c>
      <c r="S325" s="140"/>
      <c r="T325" s="98"/>
      <c r="U325" s="52" t="s">
        <v>467</v>
      </c>
      <c r="V325" s="145"/>
      <c r="W325" s="145"/>
      <c r="X325" s="145"/>
      <c r="Y325" s="99" t="str">
        <f t="shared" si="49"/>
        <v/>
      </c>
      <c r="Z325" s="145"/>
      <c r="AA325" s="99" t="str">
        <f t="shared" si="50"/>
        <v/>
      </c>
      <c r="AB325" s="140"/>
      <c r="AC325" s="99" t="str">
        <f t="shared" si="51"/>
        <v/>
      </c>
      <c r="AD325" s="140"/>
      <c r="AE325" s="99" t="str">
        <f t="shared" si="52"/>
        <v/>
      </c>
      <c r="AF325" s="140"/>
      <c r="AG325" s="99" t="str">
        <f t="shared" si="53"/>
        <v/>
      </c>
      <c r="AH325" s="140"/>
      <c r="AI325" s="99" t="str">
        <f t="shared" si="54"/>
        <v/>
      </c>
      <c r="AJ325" s="140"/>
      <c r="AK325" s="28" t="str">
        <f t="shared" si="55"/>
        <v/>
      </c>
      <c r="AL325" s="111" t="str">
        <f t="shared" si="56"/>
        <v/>
      </c>
      <c r="AM325" s="111" t="str">
        <f t="shared" si="57"/>
        <v/>
      </c>
      <c r="AN325" s="178"/>
      <c r="AO325" s="178"/>
      <c r="AP325" s="178"/>
      <c r="AQ325" s="178"/>
      <c r="AR325" s="178"/>
      <c r="AS325" s="178"/>
      <c r="AT325" s="178"/>
      <c r="AU325" s="179" t="str">
        <f>IFERROR(VLOOKUP(AT325,'Seguridad Información'!$I$61:$J$65,2,0),"")</f>
        <v/>
      </c>
      <c r="AV325" s="83"/>
      <c r="AW325" s="82" t="str">
        <f t="shared" si="48"/>
        <v/>
      </c>
      <c r="AX325" s="81" t="str">
        <f t="shared" si="58"/>
        <v/>
      </c>
      <c r="AY325" s="22" t="str">
        <f>IFERROR(VLOOKUP((CONCATENATE(AM325,AX325)),Listados!$U$3:$V$11,2,FALSE),"")</f>
        <v/>
      </c>
      <c r="AZ325" s="111">
        <f t="shared" si="59"/>
        <v>100</v>
      </c>
      <c r="BA325" s="716">
        <f>AVERAGE(AZ325:AZ330)</f>
        <v>100</v>
      </c>
      <c r="BB325" s="718" t="str">
        <f>IF(BA325&lt;=50, "Débil", IF(BA325&lt;=99,"Moderado","Fuerte"))</f>
        <v>Fuerte</v>
      </c>
      <c r="BC325" s="142">
        <f>+IF(AND(W325="Preventivo",BB325="Fuerte"),2,IF(AND(W325="Preventivo",BB325="Moderado"),1,0))</f>
        <v>0</v>
      </c>
      <c r="BD325" s="68">
        <f>+IF(AND(W325="Detectivo/Correctivo",$BB325="Fuerte"),2,IF(AND(W325="Detectivo/Correctivo",$BB325="Moderado"),1,IF(AND(W325="Preventivo",$BB325="Fuerte"),1,0)))</f>
        <v>0</v>
      </c>
      <c r="BE325" s="142" t="e">
        <f>+N325-BC325</f>
        <v>#N/A</v>
      </c>
      <c r="BF325" s="142" t="e">
        <f>+P325-BD325</f>
        <v>#N/A</v>
      </c>
      <c r="BG325" s="712" t="e">
        <f>+VLOOKUP(MIN(BE325,BE326,BE327,BE328,BE329,BE330),Listados!$J$18:$K$24,2,TRUE)</f>
        <v>#N/A</v>
      </c>
      <c r="BH325" s="712" t="e">
        <f>+VLOOKUP(MIN(BF325,BF326,BF327,BF328,BF329,BF330),Listados!$J$27:$K$32,2,TRUE)</f>
        <v>#N/A</v>
      </c>
      <c r="BI325" s="712" t="e">
        <f>IF(AND(BG325&lt;&gt;"",BH325&lt;&gt;""),VLOOKUP(BG325&amp;BH325,Listados!$M$3:$N$27,2,FALSE),"")</f>
        <v>#N/A</v>
      </c>
      <c r="BJ325" s="802" t="e">
        <f>+IF($R325="Asumir el riesgo","NA","")</f>
        <v>#N/A</v>
      </c>
      <c r="BK325" s="802" t="e">
        <f>+IF($R325="Asumir el riesgo","NA","")</f>
        <v>#N/A</v>
      </c>
      <c r="BL325" s="802" t="e">
        <f>+IF($R325="Asumir el riesgo","NA","")</f>
        <v>#N/A</v>
      </c>
      <c r="BM325" s="802" t="e">
        <f>+IF($R325="Asumir el riesgo","NA","")</f>
        <v>#N/A</v>
      </c>
    </row>
    <row r="326" spans="1:65" ht="65.150000000000006" customHeight="1" thickBot="1">
      <c r="A326" s="724"/>
      <c r="B326" s="812"/>
      <c r="C326" s="730"/>
      <c r="D326" s="158"/>
      <c r="E326" s="158"/>
      <c r="F326" s="814"/>
      <c r="G326" s="736"/>
      <c r="H326" s="105"/>
      <c r="I326" s="161"/>
      <c r="J326" s="105"/>
      <c r="K326" s="160"/>
      <c r="L326" s="150"/>
      <c r="M326" s="727"/>
      <c r="N326" s="720"/>
      <c r="O326" s="810"/>
      <c r="P326" s="720"/>
      <c r="Q326" s="715"/>
      <c r="R326" s="713"/>
      <c r="S326" s="140"/>
      <c r="T326" s="180"/>
      <c r="U326" s="52" t="s">
        <v>467</v>
      </c>
      <c r="V326" s="145"/>
      <c r="W326" s="145"/>
      <c r="X326" s="145"/>
      <c r="Y326" s="99" t="str">
        <f t="shared" si="49"/>
        <v/>
      </c>
      <c r="Z326" s="145"/>
      <c r="AA326" s="99" t="str">
        <f t="shared" si="50"/>
        <v/>
      </c>
      <c r="AB326" s="140"/>
      <c r="AC326" s="99" t="str">
        <f t="shared" si="51"/>
        <v/>
      </c>
      <c r="AD326" s="140"/>
      <c r="AE326" s="99" t="str">
        <f t="shared" si="52"/>
        <v/>
      </c>
      <c r="AF326" s="140"/>
      <c r="AG326" s="99" t="str">
        <f t="shared" si="53"/>
        <v/>
      </c>
      <c r="AH326" s="140"/>
      <c r="AI326" s="99" t="str">
        <f t="shared" si="54"/>
        <v/>
      </c>
      <c r="AJ326" s="140"/>
      <c r="AK326" s="28" t="str">
        <f t="shared" si="55"/>
        <v/>
      </c>
      <c r="AL326" s="111" t="str">
        <f t="shared" si="56"/>
        <v/>
      </c>
      <c r="AM326" s="111" t="str">
        <f t="shared" si="57"/>
        <v/>
      </c>
      <c r="AN326" s="178"/>
      <c r="AO326" s="178"/>
      <c r="AP326" s="178"/>
      <c r="AQ326" s="178"/>
      <c r="AR326" s="178"/>
      <c r="AS326" s="178"/>
      <c r="AT326" s="178"/>
      <c r="AU326" s="179" t="str">
        <f>IFERROR(VLOOKUP(AT326,'Seguridad Información'!$I$61:$J$65,2,0),"")</f>
        <v/>
      </c>
      <c r="AV326" s="83"/>
      <c r="AW326" s="82" t="str">
        <f t="shared" si="48"/>
        <v/>
      </c>
      <c r="AX326" s="81" t="str">
        <f t="shared" si="58"/>
        <v/>
      </c>
      <c r="AY326" s="22" t="str">
        <f>IFERROR(VLOOKUP((CONCATENATE(AM326,AX326)),Listados!$U$3:$V$11,2,FALSE),"")</f>
        <v/>
      </c>
      <c r="AZ326" s="111">
        <f t="shared" si="59"/>
        <v>100</v>
      </c>
      <c r="BA326" s="717"/>
      <c r="BB326" s="761"/>
      <c r="BC326" s="142">
        <f>+IF(AND(W326="Preventivo",BB325="Fuerte"),2,IF(AND(W326="Preventivo",BB325="Moderado"),1,0))</f>
        <v>0</v>
      </c>
      <c r="BD326" s="68">
        <f>+IF(AND(W326="Detectivo/Correctivo",$BB325="Fuerte"),2,IF(AND(W326="Detectivo/Correctivo",$BB326="Moderado"),1,IF(AND(W326="Preventivo",$BB325="Fuerte"),1,0)))</f>
        <v>0</v>
      </c>
      <c r="BE326" s="142" t="e">
        <f>+N325-BC326</f>
        <v>#N/A</v>
      </c>
      <c r="BF326" s="142" t="e">
        <f>+P325-BD326</f>
        <v>#N/A</v>
      </c>
      <c r="BG326" s="713"/>
      <c r="BH326" s="713"/>
      <c r="BI326" s="713"/>
      <c r="BJ326" s="803"/>
      <c r="BK326" s="803"/>
      <c r="BL326" s="803"/>
      <c r="BM326" s="803"/>
    </row>
    <row r="327" spans="1:65" ht="65.150000000000006" customHeight="1" thickBot="1">
      <c r="A327" s="724"/>
      <c r="B327" s="812"/>
      <c r="C327" s="730"/>
      <c r="D327" s="158"/>
      <c r="E327" s="158"/>
      <c r="F327" s="814"/>
      <c r="G327" s="736"/>
      <c r="H327" s="105"/>
      <c r="I327" s="161"/>
      <c r="J327" s="105"/>
      <c r="K327" s="160"/>
      <c r="L327" s="150"/>
      <c r="M327" s="727"/>
      <c r="N327" s="720"/>
      <c r="O327" s="810"/>
      <c r="P327" s="720"/>
      <c r="Q327" s="715"/>
      <c r="R327" s="713"/>
      <c r="S327" s="140"/>
      <c r="T327" s="100"/>
      <c r="U327" s="52" t="s">
        <v>467</v>
      </c>
      <c r="V327" s="145"/>
      <c r="W327" s="145"/>
      <c r="X327" s="145"/>
      <c r="Y327" s="99" t="str">
        <f t="shared" si="49"/>
        <v/>
      </c>
      <c r="Z327" s="145"/>
      <c r="AA327" s="99" t="str">
        <f t="shared" si="50"/>
        <v/>
      </c>
      <c r="AB327" s="140"/>
      <c r="AC327" s="99" t="str">
        <f t="shared" si="51"/>
        <v/>
      </c>
      <c r="AD327" s="140"/>
      <c r="AE327" s="99" t="str">
        <f t="shared" si="52"/>
        <v/>
      </c>
      <c r="AF327" s="140"/>
      <c r="AG327" s="99" t="str">
        <f t="shared" si="53"/>
        <v/>
      </c>
      <c r="AH327" s="140"/>
      <c r="AI327" s="99" t="str">
        <f t="shared" si="54"/>
        <v/>
      </c>
      <c r="AJ327" s="140"/>
      <c r="AK327" s="28" t="str">
        <f t="shared" si="55"/>
        <v/>
      </c>
      <c r="AL327" s="111" t="str">
        <f t="shared" si="56"/>
        <v/>
      </c>
      <c r="AM327" s="111" t="str">
        <f t="shared" si="57"/>
        <v/>
      </c>
      <c r="AN327" s="178"/>
      <c r="AO327" s="178"/>
      <c r="AP327" s="178"/>
      <c r="AQ327" s="178"/>
      <c r="AR327" s="178"/>
      <c r="AS327" s="178"/>
      <c r="AT327" s="178"/>
      <c r="AU327" s="179" t="str">
        <f>IFERROR(VLOOKUP(AT327,'Seguridad Información'!$I$61:$J$65,2,0),"")</f>
        <v/>
      </c>
      <c r="AV327" s="83"/>
      <c r="AW327" s="82" t="str">
        <f t="shared" ref="AW327:AW366" si="60">IFERROR(AVERAGE(AO327,AQ327,AS327,AU327),"")</f>
        <v/>
      </c>
      <c r="AX327" s="81" t="str">
        <f t="shared" si="58"/>
        <v/>
      </c>
      <c r="AY327" s="22" t="str">
        <f>IFERROR(VLOOKUP((CONCATENATE(AM327,AX327)),Listados!$U$3:$V$11,2,FALSE),"")</f>
        <v/>
      </c>
      <c r="AZ327" s="111">
        <f t="shared" si="59"/>
        <v>100</v>
      </c>
      <c r="BA327" s="717"/>
      <c r="BB327" s="761"/>
      <c r="BC327" s="142">
        <f>+IF(AND(W327="Preventivo",BB325="Fuerte"),2,IF(AND(W327="Preventivo",BB325="Moderado"),1,0))</f>
        <v>0</v>
      </c>
      <c r="BD327" s="68">
        <f>+IF(AND(W327="Detectivo/Correctivo",$BB325="Fuerte"),2,IF(AND(W327="Detectivo/Correctivo",$BB327="Moderado"),1,IF(AND(W327="Preventivo",$BB325="Fuerte"),1,0)))</f>
        <v>0</v>
      </c>
      <c r="BE327" s="142" t="e">
        <f>+N325-BC327</f>
        <v>#N/A</v>
      </c>
      <c r="BF327" s="142" t="e">
        <f>+P325-BD327</f>
        <v>#N/A</v>
      </c>
      <c r="BG327" s="713"/>
      <c r="BH327" s="713"/>
      <c r="BI327" s="713"/>
      <c r="BJ327" s="803"/>
      <c r="BK327" s="803"/>
      <c r="BL327" s="803"/>
      <c r="BM327" s="803"/>
    </row>
    <row r="328" spans="1:65" ht="65.150000000000006" customHeight="1" thickBot="1">
      <c r="A328" s="724"/>
      <c r="B328" s="812"/>
      <c r="C328" s="730"/>
      <c r="D328" s="158"/>
      <c r="E328" s="158"/>
      <c r="F328" s="814"/>
      <c r="G328" s="736"/>
      <c r="H328" s="105"/>
      <c r="I328" s="161"/>
      <c r="J328" s="105"/>
      <c r="K328" s="160"/>
      <c r="L328" s="150"/>
      <c r="M328" s="727"/>
      <c r="N328" s="720"/>
      <c r="O328" s="810"/>
      <c r="P328" s="720"/>
      <c r="Q328" s="715"/>
      <c r="R328" s="713"/>
      <c r="S328" s="140"/>
      <c r="T328" s="101"/>
      <c r="U328" s="52" t="s">
        <v>467</v>
      </c>
      <c r="V328" s="145"/>
      <c r="W328" s="145"/>
      <c r="X328" s="145"/>
      <c r="Y328" s="99" t="str">
        <f t="shared" ref="Y328:Y366" si="61">+IF(X328="si",15,"")</f>
        <v/>
      </c>
      <c r="Z328" s="145"/>
      <c r="AA328" s="99" t="str">
        <f t="shared" ref="AA328:AA366" si="62">+IF(Z328="si",15,"")</f>
        <v/>
      </c>
      <c r="AB328" s="140"/>
      <c r="AC328" s="99" t="str">
        <f t="shared" ref="AC328:AC366" si="63">+IF(AB328="si",15,"")</f>
        <v/>
      </c>
      <c r="AD328" s="140"/>
      <c r="AE328" s="99" t="str">
        <f t="shared" ref="AE328:AE366" si="64">+IF(AD328="si",15,"")</f>
        <v/>
      </c>
      <c r="AF328" s="140"/>
      <c r="AG328" s="99" t="str">
        <f t="shared" ref="AG328:AG366" si="65">+IF(AF328="si",15,"")</f>
        <v/>
      </c>
      <c r="AH328" s="140"/>
      <c r="AI328" s="99" t="str">
        <f t="shared" ref="AI328:AI366" si="66">+IF(AH328="si",15,"")</f>
        <v/>
      </c>
      <c r="AJ328" s="140"/>
      <c r="AK328" s="28" t="str">
        <f t="shared" ref="AK328:AK366" si="67">+IF(AJ328="Completa",10,IF(AJ328="Incompleta",5,""))</f>
        <v/>
      </c>
      <c r="AL328" s="111" t="str">
        <f t="shared" ref="AL328:AL366" si="68">IF((SUM(Y328,AA328,AC328,AE328,AG328,AI328,AK328)=0),"",(SUM(Y328,AA328,AC328,AE328,AG328,AI328,AK328)))</f>
        <v/>
      </c>
      <c r="AM328" s="111" t="str">
        <f t="shared" ref="AM328:AM366" si="69">IF(AL328&lt;=85,"Débil",IF(AL328&lt;=95,"Moderado",IF(AL328=100,"Fuerte","")))</f>
        <v/>
      </c>
      <c r="AN328" s="178"/>
      <c r="AO328" s="178"/>
      <c r="AP328" s="178"/>
      <c r="AQ328" s="178"/>
      <c r="AR328" s="178"/>
      <c r="AS328" s="178"/>
      <c r="AT328" s="178"/>
      <c r="AU328" s="179" t="str">
        <f>IFERROR(VLOOKUP(AT328,'Seguridad Información'!$I$61:$J$65,2,0),"")</f>
        <v/>
      </c>
      <c r="AV328" s="83"/>
      <c r="AW328" s="82" t="str">
        <f t="shared" si="60"/>
        <v/>
      </c>
      <c r="AX328" s="81" t="str">
        <f t="shared" ref="AX328:AX366" si="70">IF(AW328&lt;=80,"Débil",IF(AW328&lt;=90,"Moderado",IF(AW328=100,"Fuerte","")))</f>
        <v/>
      </c>
      <c r="AY328" s="22" t="str">
        <f>IFERROR(VLOOKUP((CONCATENATE(AM328,AX328)),Listados!$U$3:$V$11,2,FALSE),"")</f>
        <v/>
      </c>
      <c r="AZ328" s="111">
        <f t="shared" si="59"/>
        <v>100</v>
      </c>
      <c r="BA328" s="717"/>
      <c r="BB328" s="761"/>
      <c r="BC328" s="142">
        <f>+IF(AND(W328="Preventivo",BB325="Fuerte"),2,IF(AND(W328="Preventivo",BB325="Moderado"),1,0))</f>
        <v>0</v>
      </c>
      <c r="BD328" s="68">
        <f>+IF(AND(W328="Detectivo/Correctivo",$BB325="Fuerte"),2,IF(AND(W328="Detectivo/Correctivo",$BB328="Moderado"),1,IF(AND(W328="Preventivo",$BB325="Fuerte"),1,0)))</f>
        <v>0</v>
      </c>
      <c r="BE328" s="142" t="e">
        <f>+N325-BC328</f>
        <v>#N/A</v>
      </c>
      <c r="BF328" s="142" t="e">
        <f>+P325-BD328</f>
        <v>#N/A</v>
      </c>
      <c r="BG328" s="713"/>
      <c r="BH328" s="713"/>
      <c r="BI328" s="713"/>
      <c r="BJ328" s="803"/>
      <c r="BK328" s="803"/>
      <c r="BL328" s="803"/>
      <c r="BM328" s="803"/>
    </row>
    <row r="329" spans="1:65" ht="65.150000000000006" customHeight="1" thickBot="1">
      <c r="A329" s="724"/>
      <c r="B329" s="812"/>
      <c r="C329" s="730"/>
      <c r="D329" s="116"/>
      <c r="E329" s="116"/>
      <c r="F329" s="814"/>
      <c r="G329" s="736"/>
      <c r="H329" s="105"/>
      <c r="I329" s="161"/>
      <c r="J329" s="105"/>
      <c r="K329" s="29"/>
      <c r="L329" s="150"/>
      <c r="M329" s="727"/>
      <c r="N329" s="720"/>
      <c r="O329" s="810"/>
      <c r="P329" s="720"/>
      <c r="Q329" s="715"/>
      <c r="R329" s="713"/>
      <c r="S329" s="140"/>
      <c r="T329" s="180"/>
      <c r="U329" s="52" t="s">
        <v>467</v>
      </c>
      <c r="V329" s="145"/>
      <c r="W329" s="145"/>
      <c r="X329" s="145"/>
      <c r="Y329" s="99" t="str">
        <f t="shared" si="61"/>
        <v/>
      </c>
      <c r="Z329" s="145"/>
      <c r="AA329" s="99" t="str">
        <f t="shared" si="62"/>
        <v/>
      </c>
      <c r="AB329" s="140"/>
      <c r="AC329" s="99" t="str">
        <f t="shared" si="63"/>
        <v/>
      </c>
      <c r="AD329" s="140"/>
      <c r="AE329" s="99" t="str">
        <f t="shared" si="64"/>
        <v/>
      </c>
      <c r="AF329" s="140"/>
      <c r="AG329" s="99" t="str">
        <f t="shared" si="65"/>
        <v/>
      </c>
      <c r="AH329" s="140"/>
      <c r="AI329" s="99" t="str">
        <f t="shared" si="66"/>
        <v/>
      </c>
      <c r="AJ329" s="140"/>
      <c r="AK329" s="28" t="str">
        <f t="shared" si="67"/>
        <v/>
      </c>
      <c r="AL329" s="111" t="str">
        <f t="shared" si="68"/>
        <v/>
      </c>
      <c r="AM329" s="111" t="str">
        <f t="shared" si="69"/>
        <v/>
      </c>
      <c r="AN329" s="178"/>
      <c r="AO329" s="178"/>
      <c r="AP329" s="178"/>
      <c r="AQ329" s="178"/>
      <c r="AR329" s="178"/>
      <c r="AS329" s="178"/>
      <c r="AT329" s="178"/>
      <c r="AU329" s="179" t="str">
        <f>IFERROR(VLOOKUP(AT329,'Seguridad Información'!$I$61:$J$65,2,0),"")</f>
        <v/>
      </c>
      <c r="AV329" s="83"/>
      <c r="AW329" s="82" t="str">
        <f t="shared" si="60"/>
        <v/>
      </c>
      <c r="AX329" s="81" t="str">
        <f t="shared" si="70"/>
        <v/>
      </c>
      <c r="AY329" s="22" t="str">
        <f>IFERROR(VLOOKUP((CONCATENATE(AM329,AX329)),Listados!$U$3:$V$11,2,FALSE),"")</f>
        <v/>
      </c>
      <c r="AZ329" s="111">
        <f t="shared" ref="AZ329:AZ366" si="71">IF(ISBLANK(AY329),"",IF(AY329="Débil", 0, IF(AY329="Moderado",50,100)))</f>
        <v>100</v>
      </c>
      <c r="BA329" s="717"/>
      <c r="BB329" s="761"/>
      <c r="BC329" s="142">
        <f>+IF(AND(W329="Preventivo",BB325="Fuerte"),2,IF(AND(W329="Preventivo",BB325="Moderado"),1,0))</f>
        <v>0</v>
      </c>
      <c r="BD329" s="68">
        <f>+IF(AND(W329="Detectivo/Correctivo",$BB325="Fuerte"),2,IF(AND(W329="Detectivo/Correctivo",$BB329="Moderado"),1,IF(AND(W329="Preventivo",$BB325="Fuerte"),1,0)))</f>
        <v>0</v>
      </c>
      <c r="BE329" s="142" t="e">
        <f>+N325-BC329</f>
        <v>#N/A</v>
      </c>
      <c r="BF329" s="142" t="e">
        <f>+P325-BD329</f>
        <v>#N/A</v>
      </c>
      <c r="BG329" s="713"/>
      <c r="BH329" s="713"/>
      <c r="BI329" s="713"/>
      <c r="BJ329" s="803"/>
      <c r="BK329" s="803"/>
      <c r="BL329" s="803"/>
      <c r="BM329" s="803"/>
    </row>
    <row r="330" spans="1:65" ht="65.150000000000006" customHeight="1" thickBot="1">
      <c r="A330" s="725"/>
      <c r="B330" s="812"/>
      <c r="C330" s="731"/>
      <c r="D330" s="113"/>
      <c r="E330" s="113"/>
      <c r="F330" s="815"/>
      <c r="G330" s="781"/>
      <c r="H330" s="105"/>
      <c r="I330" s="161"/>
      <c r="J330" s="105"/>
      <c r="K330" s="30"/>
      <c r="L330" s="150"/>
      <c r="M330" s="727"/>
      <c r="N330" s="721"/>
      <c r="O330" s="810"/>
      <c r="P330" s="721"/>
      <c r="Q330" s="715"/>
      <c r="R330" s="714"/>
      <c r="S330" s="140"/>
      <c r="T330" s="102"/>
      <c r="U330" s="52" t="s">
        <v>467</v>
      </c>
      <c r="V330" s="145"/>
      <c r="W330" s="145"/>
      <c r="X330" s="145"/>
      <c r="Y330" s="99" t="str">
        <f t="shared" si="61"/>
        <v/>
      </c>
      <c r="Z330" s="145"/>
      <c r="AA330" s="99" t="str">
        <f t="shared" si="62"/>
        <v/>
      </c>
      <c r="AB330" s="140"/>
      <c r="AC330" s="99" t="str">
        <f t="shared" si="63"/>
        <v/>
      </c>
      <c r="AD330" s="140"/>
      <c r="AE330" s="99" t="str">
        <f t="shared" si="64"/>
        <v/>
      </c>
      <c r="AF330" s="140"/>
      <c r="AG330" s="99" t="str">
        <f t="shared" si="65"/>
        <v/>
      </c>
      <c r="AH330" s="140"/>
      <c r="AI330" s="99" t="str">
        <f t="shared" si="66"/>
        <v/>
      </c>
      <c r="AJ330" s="140"/>
      <c r="AK330" s="28" t="str">
        <f t="shared" si="67"/>
        <v/>
      </c>
      <c r="AL330" s="111" t="str">
        <f t="shared" si="68"/>
        <v/>
      </c>
      <c r="AM330" s="111" t="str">
        <f t="shared" si="69"/>
        <v/>
      </c>
      <c r="AN330" s="178"/>
      <c r="AO330" s="178"/>
      <c r="AP330" s="178"/>
      <c r="AQ330" s="178"/>
      <c r="AR330" s="178"/>
      <c r="AS330" s="178"/>
      <c r="AT330" s="178"/>
      <c r="AU330" s="179" t="str">
        <f>IFERROR(VLOOKUP(AT330,'Seguridad Información'!$I$61:$J$65,2,0),"")</f>
        <v/>
      </c>
      <c r="AV330" s="83"/>
      <c r="AW330" s="82" t="str">
        <f t="shared" si="60"/>
        <v/>
      </c>
      <c r="AX330" s="81" t="str">
        <f t="shared" si="70"/>
        <v/>
      </c>
      <c r="AY330" s="22" t="str">
        <f>IFERROR(VLOOKUP((CONCATENATE(AM330,AX330)),Listados!$U$3:$V$11,2,FALSE),"")</f>
        <v/>
      </c>
      <c r="AZ330" s="111">
        <f t="shared" si="71"/>
        <v>100</v>
      </c>
      <c r="BA330" s="718"/>
      <c r="BB330" s="761"/>
      <c r="BC330" s="142">
        <f>+IF(AND(W330="Preventivo",BB325="Fuerte"),2,IF(AND(W330="Preventivo",BB325="Moderado"),1,0))</f>
        <v>0</v>
      </c>
      <c r="BD330" s="68">
        <f>+IF(AND(W330="Detectivo/Correctivo",$BB325="Fuerte"),2,IF(AND(W330="Detectivo/Correctivo",$BB330="Moderado"),1,IF(AND(W330="Preventivo",$BB325="Fuerte"),1,0)))</f>
        <v>0</v>
      </c>
      <c r="BE330" s="142" t="e">
        <f>+N325-BC330</f>
        <v>#N/A</v>
      </c>
      <c r="BF330" s="142" t="e">
        <f>+P325-BD330</f>
        <v>#N/A</v>
      </c>
      <c r="BG330" s="714"/>
      <c r="BH330" s="714"/>
      <c r="BI330" s="714"/>
      <c r="BJ330" s="804"/>
      <c r="BK330" s="804"/>
      <c r="BL330" s="804"/>
      <c r="BM330" s="804"/>
    </row>
    <row r="331" spans="1:65" ht="65.150000000000006" customHeight="1" thickBot="1">
      <c r="A331" s="723">
        <v>55</v>
      </c>
      <c r="B331" s="811"/>
      <c r="C331" s="729" t="str">
        <f>IFERROR(VLOOKUP(B331,Listados!B$3:C$20,2,FALSE),"")</f>
        <v/>
      </c>
      <c r="D331" s="114"/>
      <c r="E331" s="114"/>
      <c r="F331" s="813"/>
      <c r="G331" s="735"/>
      <c r="H331" s="105"/>
      <c r="I331" s="161"/>
      <c r="J331" s="105"/>
      <c r="K331" s="109"/>
      <c r="L331" s="18"/>
      <c r="M331" s="762"/>
      <c r="N331" s="719" t="e">
        <f>+VLOOKUP(M331,Listados!$K$8:$L$12,2,0)</f>
        <v>#N/A</v>
      </c>
      <c r="O331" s="809"/>
      <c r="P331" s="719" t="e">
        <f>+VLOOKUP(O331,Listados!$K$13:$L$17,2,0)</f>
        <v>#N/A</v>
      </c>
      <c r="Q331" s="714" t="str">
        <f>IF(AND(M331&lt;&gt;"",O331&lt;&gt;""),VLOOKUP(M331&amp;O331,Listados!$M$3:$N$27,2,FALSE),"")</f>
        <v/>
      </c>
      <c r="R331" s="712" t="e">
        <f>+VLOOKUP(Q331,Listados!$P$3:$Q$6,2,FALSE)</f>
        <v>#N/A</v>
      </c>
      <c r="S331" s="140"/>
      <c r="T331" s="98"/>
      <c r="U331" s="52" t="s">
        <v>467</v>
      </c>
      <c r="V331" s="145"/>
      <c r="W331" s="145"/>
      <c r="X331" s="145"/>
      <c r="Y331" s="99" t="str">
        <f t="shared" si="61"/>
        <v/>
      </c>
      <c r="Z331" s="145"/>
      <c r="AA331" s="99" t="str">
        <f t="shared" si="62"/>
        <v/>
      </c>
      <c r="AB331" s="140"/>
      <c r="AC331" s="99" t="str">
        <f t="shared" si="63"/>
        <v/>
      </c>
      <c r="AD331" s="140"/>
      <c r="AE331" s="99" t="str">
        <f t="shared" si="64"/>
        <v/>
      </c>
      <c r="AF331" s="140"/>
      <c r="AG331" s="99" t="str">
        <f t="shared" si="65"/>
        <v/>
      </c>
      <c r="AH331" s="140"/>
      <c r="AI331" s="99" t="str">
        <f t="shared" si="66"/>
        <v/>
      </c>
      <c r="AJ331" s="140"/>
      <c r="AK331" s="28" t="str">
        <f t="shared" si="67"/>
        <v/>
      </c>
      <c r="AL331" s="111" t="str">
        <f t="shared" si="68"/>
        <v/>
      </c>
      <c r="AM331" s="111" t="str">
        <f t="shared" si="69"/>
        <v/>
      </c>
      <c r="AN331" s="178"/>
      <c r="AO331" s="178"/>
      <c r="AP331" s="178"/>
      <c r="AQ331" s="178"/>
      <c r="AR331" s="178"/>
      <c r="AS331" s="178"/>
      <c r="AT331" s="178"/>
      <c r="AU331" s="179" t="str">
        <f>IFERROR(VLOOKUP(AT331,'Seguridad Información'!$I$61:$J$65,2,0),"")</f>
        <v/>
      </c>
      <c r="AV331" s="83"/>
      <c r="AW331" s="82" t="str">
        <f t="shared" si="60"/>
        <v/>
      </c>
      <c r="AX331" s="81" t="str">
        <f t="shared" si="70"/>
        <v/>
      </c>
      <c r="AY331" s="22" t="str">
        <f>IFERROR(VLOOKUP((CONCATENATE(AM331,AX331)),Listados!$U$3:$V$11,2,FALSE),"")</f>
        <v/>
      </c>
      <c r="AZ331" s="111">
        <f t="shared" si="71"/>
        <v>100</v>
      </c>
      <c r="BA331" s="716">
        <f>AVERAGE(AZ331:AZ336)</f>
        <v>100</v>
      </c>
      <c r="BB331" s="718" t="str">
        <f>IF(BA331&lt;=50, "Débil", IF(BA331&lt;=99,"Moderado","Fuerte"))</f>
        <v>Fuerte</v>
      </c>
      <c r="BC331" s="142">
        <f>+IF(AND(W331="Preventivo",BB331="Fuerte"),2,IF(AND(W331="Preventivo",BB331="Moderado"),1,0))</f>
        <v>0</v>
      </c>
      <c r="BD331" s="68">
        <f>+IF(AND(W331="Detectivo/Correctivo",$BB331="Fuerte"),2,IF(AND(W331="Detectivo/Correctivo",$BB331="Moderado"),1,IF(AND(W331="Preventivo",$BB331="Fuerte"),1,0)))</f>
        <v>0</v>
      </c>
      <c r="BE331" s="142" t="e">
        <f>+N331-BC331</f>
        <v>#N/A</v>
      </c>
      <c r="BF331" s="142" t="e">
        <f>+P331-BD331</f>
        <v>#N/A</v>
      </c>
      <c r="BG331" s="712" t="e">
        <f>+VLOOKUP(MIN(BE331,BE332,BE333,BE334,BE335,BE336),Listados!$J$18:$K$24,2,TRUE)</f>
        <v>#N/A</v>
      </c>
      <c r="BH331" s="712" t="e">
        <f>+VLOOKUP(MIN(BF331,BF332,BF333,BF334,BF335,BF336),Listados!$J$27:$K$32,2,TRUE)</f>
        <v>#N/A</v>
      </c>
      <c r="BI331" s="712" t="e">
        <f>IF(AND(BG331&lt;&gt;"",BH331&lt;&gt;""),VLOOKUP(BG331&amp;BH331,Listados!$M$3:$N$27,2,FALSE),"")</f>
        <v>#N/A</v>
      </c>
      <c r="BJ331" s="802" t="e">
        <f>+IF($R331="Asumir el riesgo","NA","")</f>
        <v>#N/A</v>
      </c>
      <c r="BK331" s="802" t="e">
        <f>+IF($R331="Asumir el riesgo","NA","")</f>
        <v>#N/A</v>
      </c>
      <c r="BL331" s="802" t="e">
        <f>+IF($R331="Asumir el riesgo","NA","")</f>
        <v>#N/A</v>
      </c>
      <c r="BM331" s="802" t="e">
        <f>+IF($R331="Asumir el riesgo","NA","")</f>
        <v>#N/A</v>
      </c>
    </row>
    <row r="332" spans="1:65" ht="65.150000000000006" customHeight="1" thickBot="1">
      <c r="A332" s="724"/>
      <c r="B332" s="812"/>
      <c r="C332" s="730"/>
      <c r="D332" s="158"/>
      <c r="E332" s="158"/>
      <c r="F332" s="814"/>
      <c r="G332" s="736"/>
      <c r="H332" s="105"/>
      <c r="I332" s="161"/>
      <c r="J332" s="105"/>
      <c r="K332" s="160"/>
      <c r="L332" s="150"/>
      <c r="M332" s="727"/>
      <c r="N332" s="720"/>
      <c r="O332" s="810"/>
      <c r="P332" s="720"/>
      <c r="Q332" s="715"/>
      <c r="R332" s="713"/>
      <c r="S332" s="140"/>
      <c r="T332" s="180"/>
      <c r="U332" s="52" t="s">
        <v>467</v>
      </c>
      <c r="V332" s="145"/>
      <c r="W332" s="145"/>
      <c r="X332" s="145"/>
      <c r="Y332" s="99" t="str">
        <f t="shared" si="61"/>
        <v/>
      </c>
      <c r="Z332" s="145"/>
      <c r="AA332" s="99" t="str">
        <f t="shared" si="62"/>
        <v/>
      </c>
      <c r="AB332" s="140"/>
      <c r="AC332" s="99" t="str">
        <f t="shared" si="63"/>
        <v/>
      </c>
      <c r="AD332" s="140"/>
      <c r="AE332" s="99" t="str">
        <f t="shared" si="64"/>
        <v/>
      </c>
      <c r="AF332" s="140"/>
      <c r="AG332" s="99" t="str">
        <f t="shared" si="65"/>
        <v/>
      </c>
      <c r="AH332" s="140"/>
      <c r="AI332" s="99" t="str">
        <f t="shared" si="66"/>
        <v/>
      </c>
      <c r="AJ332" s="140"/>
      <c r="AK332" s="28" t="str">
        <f t="shared" si="67"/>
        <v/>
      </c>
      <c r="AL332" s="111" t="str">
        <f t="shared" si="68"/>
        <v/>
      </c>
      <c r="AM332" s="111" t="str">
        <f t="shared" si="69"/>
        <v/>
      </c>
      <c r="AN332" s="178"/>
      <c r="AO332" s="178"/>
      <c r="AP332" s="178"/>
      <c r="AQ332" s="178"/>
      <c r="AR332" s="178"/>
      <c r="AS332" s="178"/>
      <c r="AT332" s="178"/>
      <c r="AU332" s="179" t="str">
        <f>IFERROR(VLOOKUP(AT332,'Seguridad Información'!$I$61:$J$65,2,0),"")</f>
        <v/>
      </c>
      <c r="AV332" s="83"/>
      <c r="AW332" s="82" t="str">
        <f t="shared" si="60"/>
        <v/>
      </c>
      <c r="AX332" s="81" t="str">
        <f t="shared" si="70"/>
        <v/>
      </c>
      <c r="AY332" s="22" t="str">
        <f>IFERROR(VLOOKUP((CONCATENATE(AM332,AX332)),Listados!$U$3:$V$11,2,FALSE),"")</f>
        <v/>
      </c>
      <c r="AZ332" s="111">
        <f t="shared" si="71"/>
        <v>100</v>
      </c>
      <c r="BA332" s="717"/>
      <c r="BB332" s="761"/>
      <c r="BC332" s="142">
        <f>+IF(AND(W332="Preventivo",BB331="Fuerte"),2,IF(AND(W332="Preventivo",BB331="Moderado"),1,0))</f>
        <v>0</v>
      </c>
      <c r="BD332" s="68">
        <f>+IF(AND(W332="Detectivo/Correctivo",$BB331="Fuerte"),2,IF(AND(W332="Detectivo/Correctivo",$BB332="Moderado"),1,IF(AND(W332="Preventivo",$BB331="Fuerte"),1,0)))</f>
        <v>0</v>
      </c>
      <c r="BE332" s="142" t="e">
        <f>+N331-BC332</f>
        <v>#N/A</v>
      </c>
      <c r="BF332" s="142" t="e">
        <f>+P331-BD332</f>
        <v>#N/A</v>
      </c>
      <c r="BG332" s="713"/>
      <c r="BH332" s="713"/>
      <c r="BI332" s="713"/>
      <c r="BJ332" s="803"/>
      <c r="BK332" s="803"/>
      <c r="BL332" s="803"/>
      <c r="BM332" s="803"/>
    </row>
    <row r="333" spans="1:65" ht="65.150000000000006" customHeight="1" thickBot="1">
      <c r="A333" s="724"/>
      <c r="B333" s="812"/>
      <c r="C333" s="730"/>
      <c r="D333" s="158"/>
      <c r="E333" s="158"/>
      <c r="F333" s="814"/>
      <c r="G333" s="736"/>
      <c r="H333" s="105"/>
      <c r="I333" s="161"/>
      <c r="J333" s="105"/>
      <c r="K333" s="160"/>
      <c r="L333" s="150"/>
      <c r="M333" s="727"/>
      <c r="N333" s="720"/>
      <c r="O333" s="810"/>
      <c r="P333" s="720"/>
      <c r="Q333" s="715"/>
      <c r="R333" s="713"/>
      <c r="S333" s="140"/>
      <c r="T333" s="100"/>
      <c r="U333" s="52" t="s">
        <v>467</v>
      </c>
      <c r="V333" s="145"/>
      <c r="W333" s="145"/>
      <c r="X333" s="145"/>
      <c r="Y333" s="99" t="str">
        <f t="shared" si="61"/>
        <v/>
      </c>
      <c r="Z333" s="145"/>
      <c r="AA333" s="99" t="str">
        <f t="shared" si="62"/>
        <v/>
      </c>
      <c r="AB333" s="140"/>
      <c r="AC333" s="99" t="str">
        <f t="shared" si="63"/>
        <v/>
      </c>
      <c r="AD333" s="140"/>
      <c r="AE333" s="99" t="str">
        <f t="shared" si="64"/>
        <v/>
      </c>
      <c r="AF333" s="140"/>
      <c r="AG333" s="99" t="str">
        <f t="shared" si="65"/>
        <v/>
      </c>
      <c r="AH333" s="140"/>
      <c r="AI333" s="99" t="str">
        <f t="shared" si="66"/>
        <v/>
      </c>
      <c r="AJ333" s="140"/>
      <c r="AK333" s="28" t="str">
        <f t="shared" si="67"/>
        <v/>
      </c>
      <c r="AL333" s="111" t="str">
        <f t="shared" si="68"/>
        <v/>
      </c>
      <c r="AM333" s="111" t="str">
        <f t="shared" si="69"/>
        <v/>
      </c>
      <c r="AN333" s="178"/>
      <c r="AO333" s="178"/>
      <c r="AP333" s="178"/>
      <c r="AQ333" s="178"/>
      <c r="AR333" s="178"/>
      <c r="AS333" s="178"/>
      <c r="AT333" s="178"/>
      <c r="AU333" s="179" t="str">
        <f>IFERROR(VLOOKUP(AT333,'Seguridad Información'!$I$61:$J$65,2,0),"")</f>
        <v/>
      </c>
      <c r="AV333" s="83"/>
      <c r="AW333" s="82" t="str">
        <f t="shared" si="60"/>
        <v/>
      </c>
      <c r="AX333" s="81" t="str">
        <f t="shared" si="70"/>
        <v/>
      </c>
      <c r="AY333" s="22" t="str">
        <f>IFERROR(VLOOKUP((CONCATENATE(AM333,AX333)),Listados!$U$3:$V$11,2,FALSE),"")</f>
        <v/>
      </c>
      <c r="AZ333" s="111">
        <f t="shared" si="71"/>
        <v>100</v>
      </c>
      <c r="BA333" s="717"/>
      <c r="BB333" s="761"/>
      <c r="BC333" s="142">
        <f>+IF(AND(W333="Preventivo",BB331="Fuerte"),2,IF(AND(W333="Preventivo",BB331="Moderado"),1,0))</f>
        <v>0</v>
      </c>
      <c r="BD333" s="68">
        <f>+IF(AND(W333="Detectivo/Correctivo",$BB331="Fuerte"),2,IF(AND(W333="Detectivo/Correctivo",$BB333="Moderado"),1,IF(AND(W333="Preventivo",$BB331="Fuerte"),1,0)))</f>
        <v>0</v>
      </c>
      <c r="BE333" s="142" t="e">
        <f>+N331-BC333</f>
        <v>#N/A</v>
      </c>
      <c r="BF333" s="142" t="e">
        <f>+P331-BD333</f>
        <v>#N/A</v>
      </c>
      <c r="BG333" s="713"/>
      <c r="BH333" s="713"/>
      <c r="BI333" s="713"/>
      <c r="BJ333" s="803"/>
      <c r="BK333" s="803"/>
      <c r="BL333" s="803"/>
      <c r="BM333" s="803"/>
    </row>
    <row r="334" spans="1:65" ht="65.150000000000006" customHeight="1" thickBot="1">
      <c r="A334" s="724"/>
      <c r="B334" s="812"/>
      <c r="C334" s="730"/>
      <c r="D334" s="158"/>
      <c r="E334" s="158"/>
      <c r="F334" s="814"/>
      <c r="G334" s="736"/>
      <c r="H334" s="105"/>
      <c r="I334" s="161"/>
      <c r="J334" s="105"/>
      <c r="K334" s="160"/>
      <c r="L334" s="150"/>
      <c r="M334" s="727"/>
      <c r="N334" s="720"/>
      <c r="O334" s="810"/>
      <c r="P334" s="720"/>
      <c r="Q334" s="715"/>
      <c r="R334" s="713"/>
      <c r="S334" s="140"/>
      <c r="T334" s="101"/>
      <c r="U334" s="52" t="s">
        <v>467</v>
      </c>
      <c r="V334" s="145"/>
      <c r="W334" s="145"/>
      <c r="X334" s="145"/>
      <c r="Y334" s="99" t="str">
        <f t="shared" si="61"/>
        <v/>
      </c>
      <c r="Z334" s="145"/>
      <c r="AA334" s="99" t="str">
        <f t="shared" si="62"/>
        <v/>
      </c>
      <c r="AB334" s="140"/>
      <c r="AC334" s="99" t="str">
        <f t="shared" si="63"/>
        <v/>
      </c>
      <c r="AD334" s="140"/>
      <c r="AE334" s="99" t="str">
        <f t="shared" si="64"/>
        <v/>
      </c>
      <c r="AF334" s="140"/>
      <c r="AG334" s="99" t="str">
        <f t="shared" si="65"/>
        <v/>
      </c>
      <c r="AH334" s="140"/>
      <c r="AI334" s="99" t="str">
        <f t="shared" si="66"/>
        <v/>
      </c>
      <c r="AJ334" s="140"/>
      <c r="AK334" s="28" t="str">
        <f t="shared" si="67"/>
        <v/>
      </c>
      <c r="AL334" s="111" t="str">
        <f t="shared" si="68"/>
        <v/>
      </c>
      <c r="AM334" s="111" t="str">
        <f t="shared" si="69"/>
        <v/>
      </c>
      <c r="AN334" s="178"/>
      <c r="AO334" s="178"/>
      <c r="AP334" s="178"/>
      <c r="AQ334" s="178"/>
      <c r="AR334" s="178"/>
      <c r="AS334" s="178"/>
      <c r="AT334" s="178"/>
      <c r="AU334" s="179" t="str">
        <f>IFERROR(VLOOKUP(AT334,'Seguridad Información'!$I$61:$J$65,2,0),"")</f>
        <v/>
      </c>
      <c r="AV334" s="83"/>
      <c r="AW334" s="82" t="str">
        <f t="shared" si="60"/>
        <v/>
      </c>
      <c r="AX334" s="81" t="str">
        <f t="shared" si="70"/>
        <v/>
      </c>
      <c r="AY334" s="22" t="str">
        <f>IFERROR(VLOOKUP((CONCATENATE(AM334,AX334)),Listados!$U$3:$V$11,2,FALSE),"")</f>
        <v/>
      </c>
      <c r="AZ334" s="111">
        <f t="shared" si="71"/>
        <v>100</v>
      </c>
      <c r="BA334" s="717"/>
      <c r="BB334" s="761"/>
      <c r="BC334" s="142">
        <f>+IF(AND(W334="Preventivo",BB331="Fuerte"),2,IF(AND(W334="Preventivo",BB331="Moderado"),1,0))</f>
        <v>0</v>
      </c>
      <c r="BD334" s="68">
        <f>+IF(AND(W334="Detectivo/Correctivo",$BB331="Fuerte"),2,IF(AND(W334="Detectivo/Correctivo",$BB334="Moderado"),1,IF(AND(W334="Preventivo",$BB331="Fuerte"),1,0)))</f>
        <v>0</v>
      </c>
      <c r="BE334" s="142" t="e">
        <f>+N331-BC334</f>
        <v>#N/A</v>
      </c>
      <c r="BF334" s="142" t="e">
        <f>+P331-BD334</f>
        <v>#N/A</v>
      </c>
      <c r="BG334" s="713"/>
      <c r="BH334" s="713"/>
      <c r="BI334" s="713"/>
      <c r="BJ334" s="803"/>
      <c r="BK334" s="803"/>
      <c r="BL334" s="803"/>
      <c r="BM334" s="803"/>
    </row>
    <row r="335" spans="1:65" ht="65.150000000000006" customHeight="1" thickBot="1">
      <c r="A335" s="724"/>
      <c r="B335" s="812"/>
      <c r="C335" s="730"/>
      <c r="D335" s="116"/>
      <c r="E335" s="116"/>
      <c r="F335" s="814"/>
      <c r="G335" s="736"/>
      <c r="H335" s="105"/>
      <c r="I335" s="161"/>
      <c r="J335" s="105"/>
      <c r="K335" s="29"/>
      <c r="L335" s="150"/>
      <c r="M335" s="727"/>
      <c r="N335" s="720"/>
      <c r="O335" s="810"/>
      <c r="P335" s="720"/>
      <c r="Q335" s="715"/>
      <c r="R335" s="713"/>
      <c r="S335" s="140"/>
      <c r="T335" s="180"/>
      <c r="U335" s="52" t="s">
        <v>467</v>
      </c>
      <c r="V335" s="145"/>
      <c r="W335" s="145"/>
      <c r="X335" s="145"/>
      <c r="Y335" s="99" t="str">
        <f t="shared" si="61"/>
        <v/>
      </c>
      <c r="Z335" s="145"/>
      <c r="AA335" s="99" t="str">
        <f t="shared" si="62"/>
        <v/>
      </c>
      <c r="AB335" s="140"/>
      <c r="AC335" s="99" t="str">
        <f t="shared" si="63"/>
        <v/>
      </c>
      <c r="AD335" s="140"/>
      <c r="AE335" s="99" t="str">
        <f t="shared" si="64"/>
        <v/>
      </c>
      <c r="AF335" s="140"/>
      <c r="AG335" s="99" t="str">
        <f t="shared" si="65"/>
        <v/>
      </c>
      <c r="AH335" s="140"/>
      <c r="AI335" s="99" t="str">
        <f t="shared" si="66"/>
        <v/>
      </c>
      <c r="AJ335" s="140"/>
      <c r="AK335" s="28" t="str">
        <f t="shared" si="67"/>
        <v/>
      </c>
      <c r="AL335" s="111" t="str">
        <f t="shared" si="68"/>
        <v/>
      </c>
      <c r="AM335" s="111" t="str">
        <f t="shared" si="69"/>
        <v/>
      </c>
      <c r="AN335" s="178"/>
      <c r="AO335" s="178"/>
      <c r="AP335" s="178"/>
      <c r="AQ335" s="178"/>
      <c r="AR335" s="178"/>
      <c r="AS335" s="178"/>
      <c r="AT335" s="178"/>
      <c r="AU335" s="179" t="str">
        <f>IFERROR(VLOOKUP(AT335,'Seguridad Información'!$I$61:$J$65,2,0),"")</f>
        <v/>
      </c>
      <c r="AV335" s="83"/>
      <c r="AW335" s="82" t="str">
        <f t="shared" si="60"/>
        <v/>
      </c>
      <c r="AX335" s="81" t="str">
        <f t="shared" si="70"/>
        <v/>
      </c>
      <c r="AY335" s="22" t="str">
        <f>IFERROR(VLOOKUP((CONCATENATE(AM335,AX335)),Listados!$U$3:$V$11,2,FALSE),"")</f>
        <v/>
      </c>
      <c r="AZ335" s="111">
        <f t="shared" si="71"/>
        <v>100</v>
      </c>
      <c r="BA335" s="717"/>
      <c r="BB335" s="761"/>
      <c r="BC335" s="142">
        <f>+IF(AND(W335="Preventivo",BB331="Fuerte"),2,IF(AND(W335="Preventivo",BB331="Moderado"),1,0))</f>
        <v>0</v>
      </c>
      <c r="BD335" s="68">
        <f>+IF(AND(W335="Detectivo/Correctivo",$BB331="Fuerte"),2,IF(AND(W335="Detectivo/Correctivo",$BB335="Moderado"),1,IF(AND(W335="Preventivo",$BB331="Fuerte"),1,0)))</f>
        <v>0</v>
      </c>
      <c r="BE335" s="142" t="e">
        <f>+N331-BC335</f>
        <v>#N/A</v>
      </c>
      <c r="BF335" s="142" t="e">
        <f>+P331-BD335</f>
        <v>#N/A</v>
      </c>
      <c r="BG335" s="713"/>
      <c r="BH335" s="713"/>
      <c r="BI335" s="713"/>
      <c r="BJ335" s="803"/>
      <c r="BK335" s="803"/>
      <c r="BL335" s="803"/>
      <c r="BM335" s="803"/>
    </row>
    <row r="336" spans="1:65" ht="65.150000000000006" customHeight="1" thickBot="1">
      <c r="A336" s="725"/>
      <c r="B336" s="812"/>
      <c r="C336" s="731"/>
      <c r="D336" s="113"/>
      <c r="E336" s="113"/>
      <c r="F336" s="815"/>
      <c r="G336" s="781"/>
      <c r="H336" s="105"/>
      <c r="I336" s="161"/>
      <c r="J336" s="105"/>
      <c r="K336" s="30"/>
      <c r="L336" s="150"/>
      <c r="M336" s="727"/>
      <c r="N336" s="721"/>
      <c r="O336" s="810"/>
      <c r="P336" s="721"/>
      <c r="Q336" s="715"/>
      <c r="R336" s="714"/>
      <c r="S336" s="140"/>
      <c r="T336" s="102"/>
      <c r="U336" s="52" t="s">
        <v>467</v>
      </c>
      <c r="V336" s="145"/>
      <c r="W336" s="145"/>
      <c r="X336" s="145"/>
      <c r="Y336" s="99" t="str">
        <f t="shared" si="61"/>
        <v/>
      </c>
      <c r="Z336" s="145"/>
      <c r="AA336" s="99" t="str">
        <f t="shared" si="62"/>
        <v/>
      </c>
      <c r="AB336" s="140"/>
      <c r="AC336" s="99" t="str">
        <f t="shared" si="63"/>
        <v/>
      </c>
      <c r="AD336" s="140"/>
      <c r="AE336" s="99" t="str">
        <f t="shared" si="64"/>
        <v/>
      </c>
      <c r="AF336" s="140"/>
      <c r="AG336" s="99" t="str">
        <f t="shared" si="65"/>
        <v/>
      </c>
      <c r="AH336" s="140"/>
      <c r="AI336" s="99" t="str">
        <f t="shared" si="66"/>
        <v/>
      </c>
      <c r="AJ336" s="140"/>
      <c r="AK336" s="28" t="str">
        <f t="shared" si="67"/>
        <v/>
      </c>
      <c r="AL336" s="111" t="str">
        <f t="shared" si="68"/>
        <v/>
      </c>
      <c r="AM336" s="111" t="str">
        <f t="shared" si="69"/>
        <v/>
      </c>
      <c r="AN336" s="178"/>
      <c r="AO336" s="178"/>
      <c r="AP336" s="178"/>
      <c r="AQ336" s="178"/>
      <c r="AR336" s="178"/>
      <c r="AS336" s="178"/>
      <c r="AT336" s="178"/>
      <c r="AU336" s="179" t="str">
        <f>IFERROR(VLOOKUP(AT336,'Seguridad Información'!$I$61:$J$65,2,0),"")</f>
        <v/>
      </c>
      <c r="AV336" s="83"/>
      <c r="AW336" s="82" t="str">
        <f t="shared" si="60"/>
        <v/>
      </c>
      <c r="AX336" s="81" t="str">
        <f t="shared" si="70"/>
        <v/>
      </c>
      <c r="AY336" s="22" t="str">
        <f>IFERROR(VLOOKUP((CONCATENATE(AM336,AX336)),Listados!$U$3:$V$11,2,FALSE),"")</f>
        <v/>
      </c>
      <c r="AZ336" s="111">
        <f t="shared" si="71"/>
        <v>100</v>
      </c>
      <c r="BA336" s="718"/>
      <c r="BB336" s="761"/>
      <c r="BC336" s="142">
        <f>+IF(AND(W336="Preventivo",BB331="Fuerte"),2,IF(AND(W336="Preventivo",BB331="Moderado"),1,0))</f>
        <v>0</v>
      </c>
      <c r="BD336" s="68">
        <f>+IF(AND(W336="Detectivo/Correctivo",$BB331="Fuerte"),2,IF(AND(W336="Detectivo/Correctivo",$BB336="Moderado"),1,IF(AND(W336="Preventivo",$BB331="Fuerte"),1,0)))</f>
        <v>0</v>
      </c>
      <c r="BE336" s="142" t="e">
        <f>+N331-BC336</f>
        <v>#N/A</v>
      </c>
      <c r="BF336" s="142" t="e">
        <f>+P331-BD336</f>
        <v>#N/A</v>
      </c>
      <c r="BG336" s="714"/>
      <c r="BH336" s="714"/>
      <c r="BI336" s="714"/>
      <c r="BJ336" s="804"/>
      <c r="BK336" s="804"/>
      <c r="BL336" s="804"/>
      <c r="BM336" s="804"/>
    </row>
    <row r="337" spans="1:65" ht="65.150000000000006" customHeight="1" thickBot="1">
      <c r="A337" s="723">
        <v>56</v>
      </c>
      <c r="B337" s="811"/>
      <c r="C337" s="729" t="str">
        <f>IFERROR(VLOOKUP(B337,Listados!B$3:C$20,2,FALSE),"")</f>
        <v/>
      </c>
      <c r="D337" s="114"/>
      <c r="E337" s="114"/>
      <c r="F337" s="813"/>
      <c r="G337" s="735"/>
      <c r="H337" s="105"/>
      <c r="I337" s="161"/>
      <c r="J337" s="105"/>
      <c r="K337" s="109"/>
      <c r="L337" s="18"/>
      <c r="M337" s="762"/>
      <c r="N337" s="719" t="e">
        <f>+VLOOKUP(M337,Listados!$K$8:$L$12,2,0)</f>
        <v>#N/A</v>
      </c>
      <c r="O337" s="809"/>
      <c r="P337" s="719" t="e">
        <f>+VLOOKUP(O337,Listados!$K$13:$L$17,2,0)</f>
        <v>#N/A</v>
      </c>
      <c r="Q337" s="714" t="str">
        <f>IF(AND(M337&lt;&gt;"",O337&lt;&gt;""),VLOOKUP(M337&amp;O337,Listados!$M$3:$N$27,2,FALSE),"")</f>
        <v/>
      </c>
      <c r="R337" s="712" t="e">
        <f>+VLOOKUP(Q337,Listados!$P$3:$Q$6,2,FALSE)</f>
        <v>#N/A</v>
      </c>
      <c r="S337" s="140"/>
      <c r="T337" s="98"/>
      <c r="U337" s="52" t="s">
        <v>467</v>
      </c>
      <c r="V337" s="145"/>
      <c r="W337" s="145"/>
      <c r="X337" s="145"/>
      <c r="Y337" s="99" t="str">
        <f t="shared" si="61"/>
        <v/>
      </c>
      <c r="Z337" s="145"/>
      <c r="AA337" s="99" t="str">
        <f t="shared" si="62"/>
        <v/>
      </c>
      <c r="AB337" s="140"/>
      <c r="AC337" s="99" t="str">
        <f t="shared" si="63"/>
        <v/>
      </c>
      <c r="AD337" s="140"/>
      <c r="AE337" s="99" t="str">
        <f t="shared" si="64"/>
        <v/>
      </c>
      <c r="AF337" s="140"/>
      <c r="AG337" s="99" t="str">
        <f t="shared" si="65"/>
        <v/>
      </c>
      <c r="AH337" s="140"/>
      <c r="AI337" s="99" t="str">
        <f t="shared" si="66"/>
        <v/>
      </c>
      <c r="AJ337" s="140"/>
      <c r="AK337" s="28" t="str">
        <f t="shared" si="67"/>
        <v/>
      </c>
      <c r="AL337" s="111" t="str">
        <f t="shared" si="68"/>
        <v/>
      </c>
      <c r="AM337" s="111" t="str">
        <f t="shared" si="69"/>
        <v/>
      </c>
      <c r="AN337" s="178"/>
      <c r="AO337" s="178"/>
      <c r="AP337" s="178"/>
      <c r="AQ337" s="178"/>
      <c r="AR337" s="178"/>
      <c r="AS337" s="178"/>
      <c r="AT337" s="178"/>
      <c r="AU337" s="179" t="str">
        <f>IFERROR(VLOOKUP(AT337,'Seguridad Información'!$I$61:$J$65,2,0),"")</f>
        <v/>
      </c>
      <c r="AV337" s="83"/>
      <c r="AW337" s="82" t="str">
        <f t="shared" si="60"/>
        <v/>
      </c>
      <c r="AX337" s="81" t="str">
        <f t="shared" si="70"/>
        <v/>
      </c>
      <c r="AY337" s="22" t="str">
        <f>IFERROR(VLOOKUP((CONCATENATE(AM337,AX337)),Listados!$U$3:$V$11,2,FALSE),"")</f>
        <v/>
      </c>
      <c r="AZ337" s="111">
        <f t="shared" si="71"/>
        <v>100</v>
      </c>
      <c r="BA337" s="716">
        <f>AVERAGE(AZ337:AZ342)</f>
        <v>100</v>
      </c>
      <c r="BB337" s="718" t="str">
        <f>IF(BA337&lt;=50, "Débil", IF(BA337&lt;=99,"Moderado","Fuerte"))</f>
        <v>Fuerte</v>
      </c>
      <c r="BC337" s="142">
        <f>+IF(AND(W337="Preventivo",BB337="Fuerte"),2,IF(AND(W337="Preventivo",BB337="Moderado"),1,0))</f>
        <v>0</v>
      </c>
      <c r="BD337" s="68">
        <f>+IF(AND(W337="Detectivo/Correctivo",$BB337="Fuerte"),2,IF(AND(W337="Detectivo/Correctivo",$BB337="Moderado"),1,IF(AND(W337="Preventivo",$BB337="Fuerte"),1,0)))</f>
        <v>0</v>
      </c>
      <c r="BE337" s="142" t="e">
        <f>+N337-BC337</f>
        <v>#N/A</v>
      </c>
      <c r="BF337" s="142" t="e">
        <f>+P337-BD337</f>
        <v>#N/A</v>
      </c>
      <c r="BG337" s="712" t="e">
        <f>+VLOOKUP(MIN(BE337,BE338,BE339,BE340,BE341,BE342),Listados!$J$18:$K$24,2,TRUE)</f>
        <v>#N/A</v>
      </c>
      <c r="BH337" s="712" t="e">
        <f>+VLOOKUP(MIN(BF337,BF338,BF339,BF340,BF341,BF342),Listados!$J$27:$K$32,2,TRUE)</f>
        <v>#N/A</v>
      </c>
      <c r="BI337" s="712" t="e">
        <f>IF(AND(BG337&lt;&gt;"",BH337&lt;&gt;""),VLOOKUP(BG337&amp;BH337,Listados!$M$3:$N$27,2,FALSE),"")</f>
        <v>#N/A</v>
      </c>
      <c r="BJ337" s="802" t="e">
        <f>+IF($R337="Asumir el riesgo","NA","")</f>
        <v>#N/A</v>
      </c>
      <c r="BK337" s="802" t="e">
        <f>+IF($R337="Asumir el riesgo","NA","")</f>
        <v>#N/A</v>
      </c>
      <c r="BL337" s="802" t="e">
        <f>+IF($R337="Asumir el riesgo","NA","")</f>
        <v>#N/A</v>
      </c>
      <c r="BM337" s="802" t="e">
        <f>+IF($R337="Asumir el riesgo","NA","")</f>
        <v>#N/A</v>
      </c>
    </row>
    <row r="338" spans="1:65" ht="65.150000000000006" customHeight="1" thickBot="1">
      <c r="A338" s="724"/>
      <c r="B338" s="812"/>
      <c r="C338" s="730"/>
      <c r="D338" s="158"/>
      <c r="E338" s="158"/>
      <c r="F338" s="814"/>
      <c r="G338" s="736"/>
      <c r="H338" s="105"/>
      <c r="I338" s="161"/>
      <c r="J338" s="105"/>
      <c r="K338" s="160"/>
      <c r="L338" s="150"/>
      <c r="M338" s="727"/>
      <c r="N338" s="720"/>
      <c r="O338" s="810"/>
      <c r="P338" s="720"/>
      <c r="Q338" s="715"/>
      <c r="R338" s="713"/>
      <c r="S338" s="140"/>
      <c r="T338" s="180"/>
      <c r="U338" s="52" t="s">
        <v>467</v>
      </c>
      <c r="V338" s="145"/>
      <c r="W338" s="145"/>
      <c r="X338" s="145"/>
      <c r="Y338" s="99" t="str">
        <f t="shared" si="61"/>
        <v/>
      </c>
      <c r="Z338" s="145"/>
      <c r="AA338" s="99" t="str">
        <f t="shared" si="62"/>
        <v/>
      </c>
      <c r="AB338" s="140"/>
      <c r="AC338" s="99" t="str">
        <f t="shared" si="63"/>
        <v/>
      </c>
      <c r="AD338" s="140"/>
      <c r="AE338" s="99" t="str">
        <f t="shared" si="64"/>
        <v/>
      </c>
      <c r="AF338" s="140"/>
      <c r="AG338" s="99" t="str">
        <f t="shared" si="65"/>
        <v/>
      </c>
      <c r="AH338" s="140"/>
      <c r="AI338" s="99" t="str">
        <f t="shared" si="66"/>
        <v/>
      </c>
      <c r="AJ338" s="140"/>
      <c r="AK338" s="28" t="str">
        <f t="shared" si="67"/>
        <v/>
      </c>
      <c r="AL338" s="111" t="str">
        <f t="shared" si="68"/>
        <v/>
      </c>
      <c r="AM338" s="111" t="str">
        <f t="shared" si="69"/>
        <v/>
      </c>
      <c r="AN338" s="178"/>
      <c r="AO338" s="178"/>
      <c r="AP338" s="178"/>
      <c r="AQ338" s="178"/>
      <c r="AR338" s="178"/>
      <c r="AS338" s="178"/>
      <c r="AT338" s="178"/>
      <c r="AU338" s="179" t="str">
        <f>IFERROR(VLOOKUP(AT338,'Seguridad Información'!$I$61:$J$65,2,0),"")</f>
        <v/>
      </c>
      <c r="AV338" s="83"/>
      <c r="AW338" s="82" t="str">
        <f t="shared" si="60"/>
        <v/>
      </c>
      <c r="AX338" s="81" t="str">
        <f t="shared" si="70"/>
        <v/>
      </c>
      <c r="AY338" s="22" t="str">
        <f>IFERROR(VLOOKUP((CONCATENATE(AM338,AX338)),Listados!$U$3:$V$11,2,FALSE),"")</f>
        <v/>
      </c>
      <c r="AZ338" s="111">
        <f t="shared" si="71"/>
        <v>100</v>
      </c>
      <c r="BA338" s="717"/>
      <c r="BB338" s="761"/>
      <c r="BC338" s="142">
        <f>+IF(AND(W338="Preventivo",BB337="Fuerte"),2,IF(AND(W338="Preventivo",BB337="Moderado"),1,0))</f>
        <v>0</v>
      </c>
      <c r="BD338" s="68">
        <f>+IF(AND(W338="Detectivo/Correctivo",$BB337="Fuerte"),2,IF(AND(W338="Detectivo/Correctivo",$BB338="Moderado"),1,IF(AND(W338="Preventivo",$BB337="Fuerte"),1,0)))</f>
        <v>0</v>
      </c>
      <c r="BE338" s="142" t="e">
        <f>+N337-BC338</f>
        <v>#N/A</v>
      </c>
      <c r="BF338" s="142" t="e">
        <f>+P337-BD338</f>
        <v>#N/A</v>
      </c>
      <c r="BG338" s="713"/>
      <c r="BH338" s="713"/>
      <c r="BI338" s="713"/>
      <c r="BJ338" s="803"/>
      <c r="BK338" s="803"/>
      <c r="BL338" s="803"/>
      <c r="BM338" s="803"/>
    </row>
    <row r="339" spans="1:65" ht="65.150000000000006" customHeight="1" thickBot="1">
      <c r="A339" s="724"/>
      <c r="B339" s="812"/>
      <c r="C339" s="730"/>
      <c r="D339" s="158"/>
      <c r="E339" s="158"/>
      <c r="F339" s="814"/>
      <c r="G339" s="736"/>
      <c r="H339" s="105"/>
      <c r="I339" s="161"/>
      <c r="J339" s="105"/>
      <c r="K339" s="160"/>
      <c r="L339" s="150"/>
      <c r="M339" s="727"/>
      <c r="N339" s="720"/>
      <c r="O339" s="810"/>
      <c r="P339" s="720"/>
      <c r="Q339" s="715"/>
      <c r="R339" s="713"/>
      <c r="S339" s="140"/>
      <c r="T339" s="100"/>
      <c r="U339" s="52" t="s">
        <v>467</v>
      </c>
      <c r="V339" s="145"/>
      <c r="W339" s="145"/>
      <c r="X339" s="145"/>
      <c r="Y339" s="99" t="str">
        <f t="shared" si="61"/>
        <v/>
      </c>
      <c r="Z339" s="145"/>
      <c r="AA339" s="99" t="str">
        <f t="shared" si="62"/>
        <v/>
      </c>
      <c r="AB339" s="140"/>
      <c r="AC339" s="99" t="str">
        <f t="shared" si="63"/>
        <v/>
      </c>
      <c r="AD339" s="140"/>
      <c r="AE339" s="99" t="str">
        <f t="shared" si="64"/>
        <v/>
      </c>
      <c r="AF339" s="140"/>
      <c r="AG339" s="99" t="str">
        <f t="shared" si="65"/>
        <v/>
      </c>
      <c r="AH339" s="140"/>
      <c r="AI339" s="99" t="str">
        <f t="shared" si="66"/>
        <v/>
      </c>
      <c r="AJ339" s="140"/>
      <c r="AK339" s="28" t="str">
        <f t="shared" si="67"/>
        <v/>
      </c>
      <c r="AL339" s="111" t="str">
        <f t="shared" si="68"/>
        <v/>
      </c>
      <c r="AM339" s="111" t="str">
        <f t="shared" si="69"/>
        <v/>
      </c>
      <c r="AN339" s="178"/>
      <c r="AO339" s="178"/>
      <c r="AP339" s="178"/>
      <c r="AQ339" s="178"/>
      <c r="AR339" s="178"/>
      <c r="AS339" s="178"/>
      <c r="AT339" s="178"/>
      <c r="AU339" s="179" t="str">
        <f>IFERROR(VLOOKUP(AT339,'Seguridad Información'!$I$61:$J$65,2,0),"")</f>
        <v/>
      </c>
      <c r="AV339" s="83"/>
      <c r="AW339" s="82" t="str">
        <f t="shared" si="60"/>
        <v/>
      </c>
      <c r="AX339" s="81" t="str">
        <f t="shared" si="70"/>
        <v/>
      </c>
      <c r="AY339" s="22" t="str">
        <f>IFERROR(VLOOKUP((CONCATENATE(AM339,AX339)),Listados!$U$3:$V$11,2,FALSE),"")</f>
        <v/>
      </c>
      <c r="AZ339" s="111">
        <f t="shared" si="71"/>
        <v>100</v>
      </c>
      <c r="BA339" s="717"/>
      <c r="BB339" s="761"/>
      <c r="BC339" s="142">
        <f>+IF(AND(W339="Preventivo",BB337="Fuerte"),2,IF(AND(W339="Preventivo",BB337="Moderado"),1,0))</f>
        <v>0</v>
      </c>
      <c r="BD339" s="68">
        <f>+IF(AND(W339="Detectivo/Correctivo",$BB337="Fuerte"),2,IF(AND(W339="Detectivo/Correctivo",$BB339="Moderado"),1,IF(AND(W339="Preventivo",$BB337="Fuerte"),1,0)))</f>
        <v>0</v>
      </c>
      <c r="BE339" s="142" t="e">
        <f>+N337-BC339</f>
        <v>#N/A</v>
      </c>
      <c r="BF339" s="142" t="e">
        <f>+P337-BD339</f>
        <v>#N/A</v>
      </c>
      <c r="BG339" s="713"/>
      <c r="BH339" s="713"/>
      <c r="BI339" s="713"/>
      <c r="BJ339" s="803"/>
      <c r="BK339" s="803"/>
      <c r="BL339" s="803"/>
      <c r="BM339" s="803"/>
    </row>
    <row r="340" spans="1:65" ht="65.150000000000006" customHeight="1" thickBot="1">
      <c r="A340" s="724"/>
      <c r="B340" s="812"/>
      <c r="C340" s="730"/>
      <c r="D340" s="158"/>
      <c r="E340" s="158"/>
      <c r="F340" s="814"/>
      <c r="G340" s="736"/>
      <c r="H340" s="105"/>
      <c r="I340" s="161"/>
      <c r="J340" s="105"/>
      <c r="K340" s="160"/>
      <c r="L340" s="150"/>
      <c r="M340" s="727"/>
      <c r="N340" s="720"/>
      <c r="O340" s="810"/>
      <c r="P340" s="720"/>
      <c r="Q340" s="715"/>
      <c r="R340" s="713"/>
      <c r="S340" s="140"/>
      <c r="T340" s="101"/>
      <c r="U340" s="52" t="s">
        <v>467</v>
      </c>
      <c r="V340" s="145"/>
      <c r="W340" s="145"/>
      <c r="X340" s="145"/>
      <c r="Y340" s="99" t="str">
        <f t="shared" si="61"/>
        <v/>
      </c>
      <c r="Z340" s="145"/>
      <c r="AA340" s="99" t="str">
        <f t="shared" si="62"/>
        <v/>
      </c>
      <c r="AB340" s="140"/>
      <c r="AC340" s="99" t="str">
        <f t="shared" si="63"/>
        <v/>
      </c>
      <c r="AD340" s="140"/>
      <c r="AE340" s="99" t="str">
        <f t="shared" si="64"/>
        <v/>
      </c>
      <c r="AF340" s="140"/>
      <c r="AG340" s="99" t="str">
        <f t="shared" si="65"/>
        <v/>
      </c>
      <c r="AH340" s="140"/>
      <c r="AI340" s="99" t="str">
        <f t="shared" si="66"/>
        <v/>
      </c>
      <c r="AJ340" s="140"/>
      <c r="AK340" s="28" t="str">
        <f t="shared" si="67"/>
        <v/>
      </c>
      <c r="AL340" s="111" t="str">
        <f t="shared" si="68"/>
        <v/>
      </c>
      <c r="AM340" s="111" t="str">
        <f t="shared" si="69"/>
        <v/>
      </c>
      <c r="AN340" s="178"/>
      <c r="AO340" s="178"/>
      <c r="AP340" s="178"/>
      <c r="AQ340" s="178"/>
      <c r="AR340" s="178"/>
      <c r="AS340" s="178"/>
      <c r="AT340" s="178"/>
      <c r="AU340" s="179" t="str">
        <f>IFERROR(VLOOKUP(AT340,'Seguridad Información'!$I$61:$J$65,2,0),"")</f>
        <v/>
      </c>
      <c r="AV340" s="83"/>
      <c r="AW340" s="82" t="str">
        <f t="shared" si="60"/>
        <v/>
      </c>
      <c r="AX340" s="81" t="str">
        <f t="shared" si="70"/>
        <v/>
      </c>
      <c r="AY340" s="22" t="str">
        <f>IFERROR(VLOOKUP((CONCATENATE(AM340,AX340)),Listados!$U$3:$V$11,2,FALSE),"")</f>
        <v/>
      </c>
      <c r="AZ340" s="111">
        <f t="shared" si="71"/>
        <v>100</v>
      </c>
      <c r="BA340" s="717"/>
      <c r="BB340" s="761"/>
      <c r="BC340" s="142">
        <f>+IF(AND(W340="Preventivo",BB337="Fuerte"),2,IF(AND(W340="Preventivo",BB337="Moderado"),1,0))</f>
        <v>0</v>
      </c>
      <c r="BD340" s="68">
        <f>+IF(AND(W340="Detectivo/Correctivo",$BB337="Fuerte"),2,IF(AND(W340="Detectivo/Correctivo",$BB340="Moderado"),1,IF(AND(W340="Preventivo",$BB337="Fuerte"),1,0)))</f>
        <v>0</v>
      </c>
      <c r="BE340" s="142" t="e">
        <f>+N337-BC340</f>
        <v>#N/A</v>
      </c>
      <c r="BF340" s="142" t="e">
        <f>+P337-BD340</f>
        <v>#N/A</v>
      </c>
      <c r="BG340" s="713"/>
      <c r="BH340" s="713"/>
      <c r="BI340" s="713"/>
      <c r="BJ340" s="803"/>
      <c r="BK340" s="803"/>
      <c r="BL340" s="803"/>
      <c r="BM340" s="803"/>
    </row>
    <row r="341" spans="1:65" ht="65.150000000000006" customHeight="1" thickBot="1">
      <c r="A341" s="724"/>
      <c r="B341" s="812"/>
      <c r="C341" s="730"/>
      <c r="D341" s="116"/>
      <c r="E341" s="116"/>
      <c r="F341" s="814"/>
      <c r="G341" s="736"/>
      <c r="H341" s="105"/>
      <c r="I341" s="161"/>
      <c r="J341" s="105"/>
      <c r="K341" s="29"/>
      <c r="L341" s="150"/>
      <c r="M341" s="727"/>
      <c r="N341" s="720"/>
      <c r="O341" s="810"/>
      <c r="P341" s="720"/>
      <c r="Q341" s="715"/>
      <c r="R341" s="713"/>
      <c r="S341" s="140"/>
      <c r="T341" s="180"/>
      <c r="U341" s="52" t="s">
        <v>467</v>
      </c>
      <c r="V341" s="145"/>
      <c r="W341" s="145"/>
      <c r="X341" s="145"/>
      <c r="Y341" s="99" t="str">
        <f t="shared" si="61"/>
        <v/>
      </c>
      <c r="Z341" s="145"/>
      <c r="AA341" s="99" t="str">
        <f t="shared" si="62"/>
        <v/>
      </c>
      <c r="AB341" s="140"/>
      <c r="AC341" s="99" t="str">
        <f t="shared" si="63"/>
        <v/>
      </c>
      <c r="AD341" s="140"/>
      <c r="AE341" s="99" t="str">
        <f t="shared" si="64"/>
        <v/>
      </c>
      <c r="AF341" s="140"/>
      <c r="AG341" s="99" t="str">
        <f t="shared" si="65"/>
        <v/>
      </c>
      <c r="AH341" s="140"/>
      <c r="AI341" s="99" t="str">
        <f t="shared" si="66"/>
        <v/>
      </c>
      <c r="AJ341" s="140"/>
      <c r="AK341" s="28" t="str">
        <f t="shared" si="67"/>
        <v/>
      </c>
      <c r="AL341" s="111" t="str">
        <f t="shared" si="68"/>
        <v/>
      </c>
      <c r="AM341" s="111" t="str">
        <f t="shared" si="69"/>
        <v/>
      </c>
      <c r="AN341" s="178"/>
      <c r="AO341" s="178"/>
      <c r="AP341" s="178"/>
      <c r="AQ341" s="178"/>
      <c r="AR341" s="178"/>
      <c r="AS341" s="178"/>
      <c r="AT341" s="178"/>
      <c r="AU341" s="179" t="str">
        <f>IFERROR(VLOOKUP(AT341,'Seguridad Información'!$I$61:$J$65,2,0),"")</f>
        <v/>
      </c>
      <c r="AV341" s="83"/>
      <c r="AW341" s="82" t="str">
        <f t="shared" si="60"/>
        <v/>
      </c>
      <c r="AX341" s="81" t="str">
        <f t="shared" si="70"/>
        <v/>
      </c>
      <c r="AY341" s="22" t="str">
        <f>IFERROR(VLOOKUP((CONCATENATE(AM341,AX341)),Listados!$U$3:$V$11,2,FALSE),"")</f>
        <v/>
      </c>
      <c r="AZ341" s="111">
        <f t="shared" si="71"/>
        <v>100</v>
      </c>
      <c r="BA341" s="717"/>
      <c r="BB341" s="761"/>
      <c r="BC341" s="142">
        <f>+IF(AND(W341="Preventivo",BB337="Fuerte"),2,IF(AND(W341="Preventivo",BB337="Moderado"),1,0))</f>
        <v>0</v>
      </c>
      <c r="BD341" s="68">
        <f>+IF(AND(W341="Detectivo/Correctivo",$BB337="Fuerte"),2,IF(AND(W341="Detectivo/Correctivo",$BB341="Moderado"),1,IF(AND(W341="Preventivo",$BB337="Fuerte"),1,0)))</f>
        <v>0</v>
      </c>
      <c r="BE341" s="142" t="e">
        <f>+N337-BC341</f>
        <v>#N/A</v>
      </c>
      <c r="BF341" s="142" t="e">
        <f>+P337-BD341</f>
        <v>#N/A</v>
      </c>
      <c r="BG341" s="713"/>
      <c r="BH341" s="713"/>
      <c r="BI341" s="713"/>
      <c r="BJ341" s="803"/>
      <c r="BK341" s="803"/>
      <c r="BL341" s="803"/>
      <c r="BM341" s="803"/>
    </row>
    <row r="342" spans="1:65" ht="65.150000000000006" customHeight="1" thickBot="1">
      <c r="A342" s="725"/>
      <c r="B342" s="812"/>
      <c r="C342" s="731"/>
      <c r="D342" s="113"/>
      <c r="E342" s="113"/>
      <c r="F342" s="815"/>
      <c r="G342" s="781"/>
      <c r="H342" s="105"/>
      <c r="I342" s="161"/>
      <c r="J342" s="105"/>
      <c r="K342" s="30"/>
      <c r="L342" s="150"/>
      <c r="M342" s="727"/>
      <c r="N342" s="721"/>
      <c r="O342" s="810"/>
      <c r="P342" s="721"/>
      <c r="Q342" s="715"/>
      <c r="R342" s="714"/>
      <c r="S342" s="140"/>
      <c r="T342" s="102"/>
      <c r="U342" s="52" t="s">
        <v>467</v>
      </c>
      <c r="V342" s="145"/>
      <c r="W342" s="145"/>
      <c r="X342" s="145"/>
      <c r="Y342" s="99" t="str">
        <f t="shared" si="61"/>
        <v/>
      </c>
      <c r="Z342" s="145"/>
      <c r="AA342" s="99" t="str">
        <f t="shared" si="62"/>
        <v/>
      </c>
      <c r="AB342" s="140"/>
      <c r="AC342" s="99" t="str">
        <f t="shared" si="63"/>
        <v/>
      </c>
      <c r="AD342" s="140"/>
      <c r="AE342" s="99" t="str">
        <f t="shared" si="64"/>
        <v/>
      </c>
      <c r="AF342" s="140"/>
      <c r="AG342" s="99" t="str">
        <f t="shared" si="65"/>
        <v/>
      </c>
      <c r="AH342" s="140"/>
      <c r="AI342" s="99" t="str">
        <f t="shared" si="66"/>
        <v/>
      </c>
      <c r="AJ342" s="140"/>
      <c r="AK342" s="28" t="str">
        <f t="shared" si="67"/>
        <v/>
      </c>
      <c r="AL342" s="111" t="str">
        <f t="shared" si="68"/>
        <v/>
      </c>
      <c r="AM342" s="111" t="str">
        <f t="shared" si="69"/>
        <v/>
      </c>
      <c r="AN342" s="178"/>
      <c r="AO342" s="178"/>
      <c r="AP342" s="178"/>
      <c r="AQ342" s="178"/>
      <c r="AR342" s="178"/>
      <c r="AS342" s="178"/>
      <c r="AT342" s="178"/>
      <c r="AU342" s="179" t="str">
        <f>IFERROR(VLOOKUP(AT342,'Seguridad Información'!$I$61:$J$65,2,0),"")</f>
        <v/>
      </c>
      <c r="AV342" s="83"/>
      <c r="AW342" s="82" t="str">
        <f t="shared" si="60"/>
        <v/>
      </c>
      <c r="AX342" s="81" t="str">
        <f t="shared" si="70"/>
        <v/>
      </c>
      <c r="AY342" s="22" t="str">
        <f>IFERROR(VLOOKUP((CONCATENATE(AM342,AX342)),Listados!$U$3:$V$11,2,FALSE),"")</f>
        <v/>
      </c>
      <c r="AZ342" s="111">
        <f t="shared" si="71"/>
        <v>100</v>
      </c>
      <c r="BA342" s="718"/>
      <c r="BB342" s="761"/>
      <c r="BC342" s="142">
        <f>+IF(AND(W342="Preventivo",BB337="Fuerte"),2,IF(AND(W342="Preventivo",BB337="Moderado"),1,0))</f>
        <v>0</v>
      </c>
      <c r="BD342" s="68">
        <f>+IF(AND(W342="Detectivo/Correctivo",$BB337="Fuerte"),2,IF(AND(W342="Detectivo/Correctivo",$BB342="Moderado"),1,IF(AND(W342="Preventivo",$BB337="Fuerte"),1,0)))</f>
        <v>0</v>
      </c>
      <c r="BE342" s="142" t="e">
        <f>+N337-BC342</f>
        <v>#N/A</v>
      </c>
      <c r="BF342" s="142" t="e">
        <f>+P337-BD342</f>
        <v>#N/A</v>
      </c>
      <c r="BG342" s="714"/>
      <c r="BH342" s="714"/>
      <c r="BI342" s="714"/>
      <c r="BJ342" s="804"/>
      <c r="BK342" s="804"/>
      <c r="BL342" s="804"/>
      <c r="BM342" s="804"/>
    </row>
    <row r="343" spans="1:65" ht="65.150000000000006" customHeight="1" thickBot="1">
      <c r="A343" s="723">
        <v>57</v>
      </c>
      <c r="B343" s="811"/>
      <c r="C343" s="729" t="str">
        <f>IFERROR(VLOOKUP(B343,Listados!B$3:C$20,2,FALSE),"")</f>
        <v/>
      </c>
      <c r="D343" s="114"/>
      <c r="E343" s="114"/>
      <c r="F343" s="813"/>
      <c r="G343" s="735"/>
      <c r="H343" s="105"/>
      <c r="I343" s="161"/>
      <c r="J343" s="105"/>
      <c r="K343" s="109"/>
      <c r="L343" s="18"/>
      <c r="M343" s="762"/>
      <c r="N343" s="719" t="e">
        <f>+VLOOKUP(M343,Listados!$K$8:$L$12,2,0)</f>
        <v>#N/A</v>
      </c>
      <c r="O343" s="809"/>
      <c r="P343" s="719" t="e">
        <f>+VLOOKUP(O343,Listados!$K$13:$L$17,2,0)</f>
        <v>#N/A</v>
      </c>
      <c r="Q343" s="714" t="str">
        <f>IF(AND(M343&lt;&gt;"",O343&lt;&gt;""),VLOOKUP(M343&amp;O343,Listados!$M$3:$N$27,2,FALSE),"")</f>
        <v/>
      </c>
      <c r="R343" s="712" t="e">
        <f>+VLOOKUP(Q343,Listados!$P$3:$Q$6,2,FALSE)</f>
        <v>#N/A</v>
      </c>
      <c r="S343" s="140"/>
      <c r="T343" s="98"/>
      <c r="U343" s="52" t="s">
        <v>467</v>
      </c>
      <c r="V343" s="145"/>
      <c r="W343" s="145"/>
      <c r="X343" s="145"/>
      <c r="Y343" s="99" t="str">
        <f t="shared" si="61"/>
        <v/>
      </c>
      <c r="Z343" s="145"/>
      <c r="AA343" s="99" t="str">
        <f t="shared" si="62"/>
        <v/>
      </c>
      <c r="AB343" s="140"/>
      <c r="AC343" s="99" t="str">
        <f t="shared" si="63"/>
        <v/>
      </c>
      <c r="AD343" s="140"/>
      <c r="AE343" s="99" t="str">
        <f t="shared" si="64"/>
        <v/>
      </c>
      <c r="AF343" s="140"/>
      <c r="AG343" s="99" t="str">
        <f t="shared" si="65"/>
        <v/>
      </c>
      <c r="AH343" s="140"/>
      <c r="AI343" s="99" t="str">
        <f t="shared" si="66"/>
        <v/>
      </c>
      <c r="AJ343" s="140"/>
      <c r="AK343" s="28" t="str">
        <f t="shared" si="67"/>
        <v/>
      </c>
      <c r="AL343" s="111" t="str">
        <f t="shared" si="68"/>
        <v/>
      </c>
      <c r="AM343" s="111" t="str">
        <f t="shared" si="69"/>
        <v/>
      </c>
      <c r="AN343" s="178"/>
      <c r="AO343" s="178"/>
      <c r="AP343" s="178"/>
      <c r="AQ343" s="178"/>
      <c r="AR343" s="178"/>
      <c r="AS343" s="178"/>
      <c r="AT343" s="178"/>
      <c r="AU343" s="179" t="str">
        <f>IFERROR(VLOOKUP(AT343,'Seguridad Información'!$I$61:$J$65,2,0),"")</f>
        <v/>
      </c>
      <c r="AV343" s="83"/>
      <c r="AW343" s="82" t="str">
        <f t="shared" si="60"/>
        <v/>
      </c>
      <c r="AX343" s="81" t="str">
        <f t="shared" si="70"/>
        <v/>
      </c>
      <c r="AY343" s="22" t="str">
        <f>IFERROR(VLOOKUP((CONCATENATE(AM343,AX343)),Listados!$U$3:$V$11,2,FALSE),"")</f>
        <v/>
      </c>
      <c r="AZ343" s="111">
        <f t="shared" si="71"/>
        <v>100</v>
      </c>
      <c r="BA343" s="716">
        <f>AVERAGE(AZ343:AZ348)</f>
        <v>100</v>
      </c>
      <c r="BB343" s="718" t="str">
        <f>IF(BA343&lt;=50, "Débil", IF(BA343&lt;=99,"Moderado","Fuerte"))</f>
        <v>Fuerte</v>
      </c>
      <c r="BC343" s="142">
        <f>+IF(AND(W343="Preventivo",BB343="Fuerte"),2,IF(AND(W343="Preventivo",BB343="Moderado"),1,0))</f>
        <v>0</v>
      </c>
      <c r="BD343" s="68">
        <f>+IF(AND(W343="Detectivo/Correctivo",$BB343="Fuerte"),2,IF(AND(W343="Detectivo/Correctivo",$BB343="Moderado"),1,IF(AND(W343="Preventivo",$BB343="Fuerte"),1,0)))</f>
        <v>0</v>
      </c>
      <c r="BE343" s="142" t="e">
        <f>+N343-BC343</f>
        <v>#N/A</v>
      </c>
      <c r="BF343" s="142" t="e">
        <f>+P343-BD343</f>
        <v>#N/A</v>
      </c>
      <c r="BG343" s="712" t="e">
        <f>+VLOOKUP(MIN(BE343,BE344,BE345,BE346,BE347,BE348),Listados!$J$18:$K$24,2,TRUE)</f>
        <v>#N/A</v>
      </c>
      <c r="BH343" s="712" t="e">
        <f>+VLOOKUP(MIN(BF343,BF344,BF345,BF346,BF347,BF348),Listados!$J$27:$K$32,2,TRUE)</f>
        <v>#N/A</v>
      </c>
      <c r="BI343" s="712" t="e">
        <f>IF(AND(BG343&lt;&gt;"",BH343&lt;&gt;""),VLOOKUP(BG343&amp;BH343,Listados!$M$3:$N$27,2,FALSE),"")</f>
        <v>#N/A</v>
      </c>
      <c r="BJ343" s="802" t="e">
        <f>+IF($R343="Asumir el riesgo","NA","")</f>
        <v>#N/A</v>
      </c>
      <c r="BK343" s="802" t="e">
        <f>+IF($R343="Asumir el riesgo","NA","")</f>
        <v>#N/A</v>
      </c>
      <c r="BL343" s="802" t="e">
        <f>+IF($R343="Asumir el riesgo","NA","")</f>
        <v>#N/A</v>
      </c>
      <c r="BM343" s="802" t="e">
        <f>+IF($R343="Asumir el riesgo","NA","")</f>
        <v>#N/A</v>
      </c>
    </row>
    <row r="344" spans="1:65" ht="65.150000000000006" customHeight="1" thickBot="1">
      <c r="A344" s="724"/>
      <c r="B344" s="812"/>
      <c r="C344" s="730"/>
      <c r="D344" s="158"/>
      <c r="E344" s="158"/>
      <c r="F344" s="814"/>
      <c r="G344" s="736"/>
      <c r="H344" s="105"/>
      <c r="I344" s="161"/>
      <c r="J344" s="105"/>
      <c r="K344" s="160"/>
      <c r="L344" s="150"/>
      <c r="M344" s="727"/>
      <c r="N344" s="720"/>
      <c r="O344" s="810"/>
      <c r="P344" s="720"/>
      <c r="Q344" s="715"/>
      <c r="R344" s="713"/>
      <c r="S344" s="140"/>
      <c r="T344" s="180"/>
      <c r="U344" s="52" t="s">
        <v>467</v>
      </c>
      <c r="V344" s="145"/>
      <c r="W344" s="145"/>
      <c r="X344" s="145"/>
      <c r="Y344" s="99" t="str">
        <f t="shared" si="61"/>
        <v/>
      </c>
      <c r="Z344" s="145"/>
      <c r="AA344" s="99" t="str">
        <f t="shared" si="62"/>
        <v/>
      </c>
      <c r="AB344" s="140"/>
      <c r="AC344" s="99" t="str">
        <f t="shared" si="63"/>
        <v/>
      </c>
      <c r="AD344" s="140"/>
      <c r="AE344" s="99" t="str">
        <f t="shared" si="64"/>
        <v/>
      </c>
      <c r="AF344" s="140"/>
      <c r="AG344" s="99" t="str">
        <f t="shared" si="65"/>
        <v/>
      </c>
      <c r="AH344" s="140"/>
      <c r="AI344" s="99" t="str">
        <f t="shared" si="66"/>
        <v/>
      </c>
      <c r="AJ344" s="140"/>
      <c r="AK344" s="28" t="str">
        <f t="shared" si="67"/>
        <v/>
      </c>
      <c r="AL344" s="111" t="str">
        <f t="shared" si="68"/>
        <v/>
      </c>
      <c r="AM344" s="111" t="str">
        <f t="shared" si="69"/>
        <v/>
      </c>
      <c r="AN344" s="178"/>
      <c r="AO344" s="178"/>
      <c r="AP344" s="178"/>
      <c r="AQ344" s="178"/>
      <c r="AR344" s="178"/>
      <c r="AS344" s="178"/>
      <c r="AT344" s="178"/>
      <c r="AU344" s="179" t="str">
        <f>IFERROR(VLOOKUP(AT344,'Seguridad Información'!$I$61:$J$65,2,0),"")</f>
        <v/>
      </c>
      <c r="AV344" s="83"/>
      <c r="AW344" s="82" t="str">
        <f t="shared" si="60"/>
        <v/>
      </c>
      <c r="AX344" s="81" t="str">
        <f t="shared" si="70"/>
        <v/>
      </c>
      <c r="AY344" s="22" t="str">
        <f>IFERROR(VLOOKUP((CONCATENATE(AM344,AX344)),Listados!$U$3:$V$11,2,FALSE),"")</f>
        <v/>
      </c>
      <c r="AZ344" s="111">
        <f t="shared" si="71"/>
        <v>100</v>
      </c>
      <c r="BA344" s="717"/>
      <c r="BB344" s="761"/>
      <c r="BC344" s="142">
        <f>+IF(AND(W344="Preventivo",BB343="Fuerte"),2,IF(AND(W344="Preventivo",BB343="Moderado"),1,0))</f>
        <v>0</v>
      </c>
      <c r="BD344" s="68">
        <f>+IF(AND(W344="Detectivo/Correctivo",$BB343="Fuerte"),2,IF(AND(W344="Detectivo/Correctivo",$BB344="Moderado"),1,IF(AND(W344="Preventivo",$BB343="Fuerte"),1,0)))</f>
        <v>0</v>
      </c>
      <c r="BE344" s="142" t="e">
        <f>+N343-BC344</f>
        <v>#N/A</v>
      </c>
      <c r="BF344" s="142" t="e">
        <f>+P343-BD344</f>
        <v>#N/A</v>
      </c>
      <c r="BG344" s="713"/>
      <c r="BH344" s="713"/>
      <c r="BI344" s="713"/>
      <c r="BJ344" s="803"/>
      <c r="BK344" s="803"/>
      <c r="BL344" s="803"/>
      <c r="BM344" s="803"/>
    </row>
    <row r="345" spans="1:65" ht="65.150000000000006" customHeight="1" thickBot="1">
      <c r="A345" s="724"/>
      <c r="B345" s="812"/>
      <c r="C345" s="730"/>
      <c r="D345" s="158"/>
      <c r="E345" s="158"/>
      <c r="F345" s="814"/>
      <c r="G345" s="736"/>
      <c r="H345" s="105"/>
      <c r="I345" s="161"/>
      <c r="J345" s="105"/>
      <c r="K345" s="160"/>
      <c r="L345" s="150"/>
      <c r="M345" s="727"/>
      <c r="N345" s="720"/>
      <c r="O345" s="810"/>
      <c r="P345" s="720"/>
      <c r="Q345" s="715"/>
      <c r="R345" s="713"/>
      <c r="S345" s="140"/>
      <c r="T345" s="100"/>
      <c r="U345" s="52" t="s">
        <v>467</v>
      </c>
      <c r="V345" s="145"/>
      <c r="W345" s="145"/>
      <c r="X345" s="145"/>
      <c r="Y345" s="99" t="str">
        <f t="shared" si="61"/>
        <v/>
      </c>
      <c r="Z345" s="145"/>
      <c r="AA345" s="99" t="str">
        <f t="shared" si="62"/>
        <v/>
      </c>
      <c r="AB345" s="140"/>
      <c r="AC345" s="99" t="str">
        <f t="shared" si="63"/>
        <v/>
      </c>
      <c r="AD345" s="140"/>
      <c r="AE345" s="99" t="str">
        <f t="shared" si="64"/>
        <v/>
      </c>
      <c r="AF345" s="140"/>
      <c r="AG345" s="99" t="str">
        <f t="shared" si="65"/>
        <v/>
      </c>
      <c r="AH345" s="140"/>
      <c r="AI345" s="99" t="str">
        <f t="shared" si="66"/>
        <v/>
      </c>
      <c r="AJ345" s="140"/>
      <c r="AK345" s="28" t="str">
        <f t="shared" si="67"/>
        <v/>
      </c>
      <c r="AL345" s="111" t="str">
        <f t="shared" si="68"/>
        <v/>
      </c>
      <c r="AM345" s="111" t="str">
        <f t="shared" si="69"/>
        <v/>
      </c>
      <c r="AN345" s="178"/>
      <c r="AO345" s="178"/>
      <c r="AP345" s="178"/>
      <c r="AQ345" s="178"/>
      <c r="AR345" s="178"/>
      <c r="AS345" s="178"/>
      <c r="AT345" s="178"/>
      <c r="AU345" s="179" t="str">
        <f>IFERROR(VLOOKUP(AT345,'Seguridad Información'!$I$61:$J$65,2,0),"")</f>
        <v/>
      </c>
      <c r="AV345" s="83"/>
      <c r="AW345" s="82" t="str">
        <f t="shared" si="60"/>
        <v/>
      </c>
      <c r="AX345" s="81" t="str">
        <f t="shared" si="70"/>
        <v/>
      </c>
      <c r="AY345" s="22" t="str">
        <f>IFERROR(VLOOKUP((CONCATENATE(AM345,AX345)),Listados!$U$3:$V$11,2,FALSE),"")</f>
        <v/>
      </c>
      <c r="AZ345" s="111">
        <f t="shared" si="71"/>
        <v>100</v>
      </c>
      <c r="BA345" s="717"/>
      <c r="BB345" s="761"/>
      <c r="BC345" s="142">
        <f>+IF(AND(W345="Preventivo",BB343="Fuerte"),2,IF(AND(W345="Preventivo",BB343="Moderado"),1,0))</f>
        <v>0</v>
      </c>
      <c r="BD345" s="68">
        <f>+IF(AND(W345="Detectivo/Correctivo",$BB343="Fuerte"),2,IF(AND(W345="Detectivo/Correctivo",$BB345="Moderado"),1,IF(AND(W345="Preventivo",$BB343="Fuerte"),1,0)))</f>
        <v>0</v>
      </c>
      <c r="BE345" s="142" t="e">
        <f>+N343-BC345</f>
        <v>#N/A</v>
      </c>
      <c r="BF345" s="142" t="e">
        <f>+P343-BD345</f>
        <v>#N/A</v>
      </c>
      <c r="BG345" s="713"/>
      <c r="BH345" s="713"/>
      <c r="BI345" s="713"/>
      <c r="BJ345" s="803"/>
      <c r="BK345" s="803"/>
      <c r="BL345" s="803"/>
      <c r="BM345" s="803"/>
    </row>
    <row r="346" spans="1:65" ht="65.150000000000006" customHeight="1" thickBot="1">
      <c r="A346" s="724"/>
      <c r="B346" s="812"/>
      <c r="C346" s="730"/>
      <c r="D346" s="158"/>
      <c r="E346" s="158"/>
      <c r="F346" s="814"/>
      <c r="G346" s="736"/>
      <c r="H346" s="105"/>
      <c r="I346" s="161"/>
      <c r="J346" s="105"/>
      <c r="K346" s="160"/>
      <c r="L346" s="150"/>
      <c r="M346" s="727"/>
      <c r="N346" s="720"/>
      <c r="O346" s="810"/>
      <c r="P346" s="720"/>
      <c r="Q346" s="715"/>
      <c r="R346" s="713"/>
      <c r="S346" s="140"/>
      <c r="T346" s="101"/>
      <c r="U346" s="52" t="s">
        <v>467</v>
      </c>
      <c r="V346" s="145"/>
      <c r="W346" s="145"/>
      <c r="X346" s="145"/>
      <c r="Y346" s="99" t="str">
        <f t="shared" si="61"/>
        <v/>
      </c>
      <c r="Z346" s="145"/>
      <c r="AA346" s="99" t="str">
        <f t="shared" si="62"/>
        <v/>
      </c>
      <c r="AB346" s="140"/>
      <c r="AC346" s="99" t="str">
        <f t="shared" si="63"/>
        <v/>
      </c>
      <c r="AD346" s="140"/>
      <c r="AE346" s="99" t="str">
        <f t="shared" si="64"/>
        <v/>
      </c>
      <c r="AF346" s="140"/>
      <c r="AG346" s="99" t="str">
        <f t="shared" si="65"/>
        <v/>
      </c>
      <c r="AH346" s="140"/>
      <c r="AI346" s="99" t="str">
        <f t="shared" si="66"/>
        <v/>
      </c>
      <c r="AJ346" s="140"/>
      <c r="AK346" s="28" t="str">
        <f t="shared" si="67"/>
        <v/>
      </c>
      <c r="AL346" s="111" t="str">
        <f t="shared" si="68"/>
        <v/>
      </c>
      <c r="AM346" s="111" t="str">
        <f t="shared" si="69"/>
        <v/>
      </c>
      <c r="AN346" s="178"/>
      <c r="AO346" s="178"/>
      <c r="AP346" s="178"/>
      <c r="AQ346" s="178"/>
      <c r="AR346" s="178"/>
      <c r="AS346" s="178"/>
      <c r="AT346" s="178"/>
      <c r="AU346" s="179" t="str">
        <f>IFERROR(VLOOKUP(AT346,'Seguridad Información'!$I$61:$J$65,2,0),"")</f>
        <v/>
      </c>
      <c r="AV346" s="83"/>
      <c r="AW346" s="82" t="str">
        <f t="shared" si="60"/>
        <v/>
      </c>
      <c r="AX346" s="81" t="str">
        <f t="shared" si="70"/>
        <v/>
      </c>
      <c r="AY346" s="22" t="str">
        <f>IFERROR(VLOOKUP((CONCATENATE(AM346,AX346)),Listados!$U$3:$V$11,2,FALSE),"")</f>
        <v/>
      </c>
      <c r="AZ346" s="111">
        <f t="shared" si="71"/>
        <v>100</v>
      </c>
      <c r="BA346" s="717"/>
      <c r="BB346" s="761"/>
      <c r="BC346" s="142">
        <f>+IF(AND(W346="Preventivo",BB343="Fuerte"),2,IF(AND(W346="Preventivo",BB343="Moderado"),1,0))</f>
        <v>0</v>
      </c>
      <c r="BD346" s="68">
        <f>+IF(AND(W346="Detectivo/Correctivo",$BB343="Fuerte"),2,IF(AND(W346="Detectivo/Correctivo",$BB346="Moderado"),1,IF(AND(W346="Preventivo",$BB343="Fuerte"),1,0)))</f>
        <v>0</v>
      </c>
      <c r="BE346" s="142" t="e">
        <f>+N343-BC346</f>
        <v>#N/A</v>
      </c>
      <c r="BF346" s="142" t="e">
        <f>+P343-BD346</f>
        <v>#N/A</v>
      </c>
      <c r="BG346" s="713"/>
      <c r="BH346" s="713"/>
      <c r="BI346" s="713"/>
      <c r="BJ346" s="803"/>
      <c r="BK346" s="803"/>
      <c r="BL346" s="803"/>
      <c r="BM346" s="803"/>
    </row>
    <row r="347" spans="1:65" ht="65.150000000000006" customHeight="1" thickBot="1">
      <c r="A347" s="724"/>
      <c r="B347" s="812"/>
      <c r="C347" s="730"/>
      <c r="D347" s="116"/>
      <c r="E347" s="116"/>
      <c r="F347" s="814"/>
      <c r="G347" s="736"/>
      <c r="H347" s="105"/>
      <c r="I347" s="161"/>
      <c r="J347" s="105"/>
      <c r="K347" s="29"/>
      <c r="L347" s="150"/>
      <c r="M347" s="727"/>
      <c r="N347" s="720"/>
      <c r="O347" s="810"/>
      <c r="P347" s="720"/>
      <c r="Q347" s="715"/>
      <c r="R347" s="713"/>
      <c r="S347" s="140"/>
      <c r="T347" s="180"/>
      <c r="U347" s="52" t="s">
        <v>467</v>
      </c>
      <c r="V347" s="145"/>
      <c r="W347" s="145"/>
      <c r="X347" s="145"/>
      <c r="Y347" s="99" t="str">
        <f t="shared" si="61"/>
        <v/>
      </c>
      <c r="Z347" s="145"/>
      <c r="AA347" s="99" t="str">
        <f t="shared" si="62"/>
        <v/>
      </c>
      <c r="AB347" s="140"/>
      <c r="AC347" s="99" t="str">
        <f t="shared" si="63"/>
        <v/>
      </c>
      <c r="AD347" s="140"/>
      <c r="AE347" s="99" t="str">
        <f t="shared" si="64"/>
        <v/>
      </c>
      <c r="AF347" s="140"/>
      <c r="AG347" s="99" t="str">
        <f t="shared" si="65"/>
        <v/>
      </c>
      <c r="AH347" s="140"/>
      <c r="AI347" s="99" t="str">
        <f t="shared" si="66"/>
        <v/>
      </c>
      <c r="AJ347" s="140"/>
      <c r="AK347" s="28" t="str">
        <f t="shared" si="67"/>
        <v/>
      </c>
      <c r="AL347" s="111" t="str">
        <f t="shared" si="68"/>
        <v/>
      </c>
      <c r="AM347" s="111" t="str">
        <f t="shared" si="69"/>
        <v/>
      </c>
      <c r="AN347" s="178"/>
      <c r="AO347" s="178"/>
      <c r="AP347" s="178"/>
      <c r="AQ347" s="178"/>
      <c r="AR347" s="178"/>
      <c r="AS347" s="178"/>
      <c r="AT347" s="178"/>
      <c r="AU347" s="179" t="str">
        <f>IFERROR(VLOOKUP(AT347,'Seguridad Información'!$I$61:$J$65,2,0),"")</f>
        <v/>
      </c>
      <c r="AV347" s="83"/>
      <c r="AW347" s="82" t="str">
        <f t="shared" si="60"/>
        <v/>
      </c>
      <c r="AX347" s="81" t="str">
        <f t="shared" si="70"/>
        <v/>
      </c>
      <c r="AY347" s="22" t="str">
        <f>IFERROR(VLOOKUP((CONCATENATE(AM347,AX347)),Listados!$U$3:$V$11,2,FALSE),"")</f>
        <v/>
      </c>
      <c r="AZ347" s="111">
        <f t="shared" si="71"/>
        <v>100</v>
      </c>
      <c r="BA347" s="717"/>
      <c r="BB347" s="761"/>
      <c r="BC347" s="142">
        <f>+IF(AND(W347="Preventivo",BB343="Fuerte"),2,IF(AND(W347="Preventivo",BB343="Moderado"),1,0))</f>
        <v>0</v>
      </c>
      <c r="BD347" s="68">
        <f>+IF(AND(W347="Detectivo/Correctivo",$BB343="Fuerte"),2,IF(AND(W347="Detectivo/Correctivo",$BB347="Moderado"),1,IF(AND(W347="Preventivo",$BB343="Fuerte"),1,0)))</f>
        <v>0</v>
      </c>
      <c r="BE347" s="142" t="e">
        <f>+N343-BC347</f>
        <v>#N/A</v>
      </c>
      <c r="BF347" s="142" t="e">
        <f>+P343-BD347</f>
        <v>#N/A</v>
      </c>
      <c r="BG347" s="713"/>
      <c r="BH347" s="713"/>
      <c r="BI347" s="713"/>
      <c r="BJ347" s="803"/>
      <c r="BK347" s="803"/>
      <c r="BL347" s="803"/>
      <c r="BM347" s="803"/>
    </row>
    <row r="348" spans="1:65" ht="65.150000000000006" customHeight="1" thickBot="1">
      <c r="A348" s="725"/>
      <c r="B348" s="812"/>
      <c r="C348" s="731"/>
      <c r="D348" s="113"/>
      <c r="E348" s="113"/>
      <c r="F348" s="815"/>
      <c r="G348" s="781"/>
      <c r="H348" s="105"/>
      <c r="I348" s="161"/>
      <c r="J348" s="105"/>
      <c r="K348" s="30"/>
      <c r="L348" s="150"/>
      <c r="M348" s="727"/>
      <c r="N348" s="721"/>
      <c r="O348" s="810"/>
      <c r="P348" s="721"/>
      <c r="Q348" s="715"/>
      <c r="R348" s="714"/>
      <c r="S348" s="140"/>
      <c r="T348" s="102"/>
      <c r="U348" s="52" t="s">
        <v>467</v>
      </c>
      <c r="V348" s="145"/>
      <c r="W348" s="145"/>
      <c r="X348" s="145"/>
      <c r="Y348" s="99" t="str">
        <f t="shared" si="61"/>
        <v/>
      </c>
      <c r="Z348" s="145"/>
      <c r="AA348" s="99" t="str">
        <f t="shared" si="62"/>
        <v/>
      </c>
      <c r="AB348" s="140"/>
      <c r="AC348" s="99" t="str">
        <f t="shared" si="63"/>
        <v/>
      </c>
      <c r="AD348" s="140"/>
      <c r="AE348" s="99" t="str">
        <f t="shared" si="64"/>
        <v/>
      </c>
      <c r="AF348" s="140"/>
      <c r="AG348" s="99" t="str">
        <f t="shared" si="65"/>
        <v/>
      </c>
      <c r="AH348" s="140"/>
      <c r="AI348" s="99" t="str">
        <f t="shared" si="66"/>
        <v/>
      </c>
      <c r="AJ348" s="140"/>
      <c r="AK348" s="28" t="str">
        <f t="shared" si="67"/>
        <v/>
      </c>
      <c r="AL348" s="111" t="str">
        <f t="shared" si="68"/>
        <v/>
      </c>
      <c r="AM348" s="111" t="str">
        <f t="shared" si="69"/>
        <v/>
      </c>
      <c r="AN348" s="178"/>
      <c r="AO348" s="178"/>
      <c r="AP348" s="178"/>
      <c r="AQ348" s="178"/>
      <c r="AR348" s="178"/>
      <c r="AS348" s="178"/>
      <c r="AT348" s="178"/>
      <c r="AU348" s="179" t="str">
        <f>IFERROR(VLOOKUP(AT348,'Seguridad Información'!$I$61:$J$65,2,0),"")</f>
        <v/>
      </c>
      <c r="AV348" s="83"/>
      <c r="AW348" s="82" t="str">
        <f t="shared" si="60"/>
        <v/>
      </c>
      <c r="AX348" s="81" t="str">
        <f t="shared" si="70"/>
        <v/>
      </c>
      <c r="AY348" s="22" t="str">
        <f>IFERROR(VLOOKUP((CONCATENATE(AM348,AX348)),Listados!$U$3:$V$11,2,FALSE),"")</f>
        <v/>
      </c>
      <c r="AZ348" s="111">
        <f t="shared" si="71"/>
        <v>100</v>
      </c>
      <c r="BA348" s="718"/>
      <c r="BB348" s="761"/>
      <c r="BC348" s="142">
        <f>+IF(AND(W348="Preventivo",BB343="Fuerte"),2,IF(AND(W348="Preventivo",BB343="Moderado"),1,0))</f>
        <v>0</v>
      </c>
      <c r="BD348" s="68">
        <f>+IF(AND(W348="Detectivo/Correctivo",$BB343="Fuerte"),2,IF(AND(W348="Detectivo/Correctivo",$BB348="Moderado"),1,IF(AND(W348="Preventivo",$BB343="Fuerte"),1,0)))</f>
        <v>0</v>
      </c>
      <c r="BE348" s="142" t="e">
        <f>+N343-BC348</f>
        <v>#N/A</v>
      </c>
      <c r="BF348" s="142" t="e">
        <f>+P343-BD348</f>
        <v>#N/A</v>
      </c>
      <c r="BG348" s="714"/>
      <c r="BH348" s="714"/>
      <c r="BI348" s="714"/>
      <c r="BJ348" s="804"/>
      <c r="BK348" s="804"/>
      <c r="BL348" s="804"/>
      <c r="BM348" s="804"/>
    </row>
    <row r="349" spans="1:65" ht="65.150000000000006" customHeight="1" thickBot="1">
      <c r="A349" s="723">
        <v>58</v>
      </c>
      <c r="B349" s="811"/>
      <c r="C349" s="729" t="str">
        <f>IFERROR(VLOOKUP(B349,Listados!B$3:C$20,2,FALSE),"")</f>
        <v/>
      </c>
      <c r="D349" s="114"/>
      <c r="E349" s="114"/>
      <c r="F349" s="813"/>
      <c r="G349" s="735"/>
      <c r="H349" s="105"/>
      <c r="I349" s="161"/>
      <c r="J349" s="105"/>
      <c r="K349" s="109"/>
      <c r="L349" s="18"/>
      <c r="M349" s="762"/>
      <c r="N349" s="719" t="e">
        <f>+VLOOKUP(M349,Listados!$K$8:$L$12,2,0)</f>
        <v>#N/A</v>
      </c>
      <c r="O349" s="809"/>
      <c r="P349" s="719" t="e">
        <f>+VLOOKUP(O349,Listados!$K$13:$L$17,2,0)</f>
        <v>#N/A</v>
      </c>
      <c r="Q349" s="714" t="str">
        <f>IF(AND(M349&lt;&gt;"",O349&lt;&gt;""),VLOOKUP(M349&amp;O349,Listados!$M$3:$N$27,2,FALSE),"")</f>
        <v/>
      </c>
      <c r="R349" s="712" t="e">
        <f>+VLOOKUP(Q349,Listados!$P$3:$Q$6,2,FALSE)</f>
        <v>#N/A</v>
      </c>
      <c r="S349" s="140"/>
      <c r="T349" s="98"/>
      <c r="U349" s="52" t="s">
        <v>467</v>
      </c>
      <c r="V349" s="145"/>
      <c r="W349" s="145"/>
      <c r="X349" s="145"/>
      <c r="Y349" s="99" t="str">
        <f t="shared" si="61"/>
        <v/>
      </c>
      <c r="Z349" s="145"/>
      <c r="AA349" s="99" t="str">
        <f t="shared" si="62"/>
        <v/>
      </c>
      <c r="AB349" s="140"/>
      <c r="AC349" s="99" t="str">
        <f t="shared" si="63"/>
        <v/>
      </c>
      <c r="AD349" s="140"/>
      <c r="AE349" s="99" t="str">
        <f t="shared" si="64"/>
        <v/>
      </c>
      <c r="AF349" s="140"/>
      <c r="AG349" s="99" t="str">
        <f t="shared" si="65"/>
        <v/>
      </c>
      <c r="AH349" s="140"/>
      <c r="AI349" s="99" t="str">
        <f t="shared" si="66"/>
        <v/>
      </c>
      <c r="AJ349" s="140"/>
      <c r="AK349" s="28" t="str">
        <f t="shared" si="67"/>
        <v/>
      </c>
      <c r="AL349" s="111" t="str">
        <f t="shared" si="68"/>
        <v/>
      </c>
      <c r="AM349" s="111" t="str">
        <f t="shared" si="69"/>
        <v/>
      </c>
      <c r="AN349" s="178"/>
      <c r="AO349" s="178"/>
      <c r="AP349" s="178"/>
      <c r="AQ349" s="178"/>
      <c r="AR349" s="178"/>
      <c r="AS349" s="178"/>
      <c r="AT349" s="178"/>
      <c r="AU349" s="179" t="str">
        <f>IFERROR(VLOOKUP(AT349,'Seguridad Información'!$I$61:$J$65,2,0),"")</f>
        <v/>
      </c>
      <c r="AV349" s="83"/>
      <c r="AW349" s="82" t="str">
        <f t="shared" si="60"/>
        <v/>
      </c>
      <c r="AX349" s="81" t="str">
        <f t="shared" si="70"/>
        <v/>
      </c>
      <c r="AY349" s="22" t="str">
        <f>IFERROR(VLOOKUP((CONCATENATE(AM349,AX349)),Listados!$U$3:$V$11,2,FALSE),"")</f>
        <v/>
      </c>
      <c r="AZ349" s="111">
        <f t="shared" si="71"/>
        <v>100</v>
      </c>
      <c r="BA349" s="716">
        <f>AVERAGE(AZ349:AZ354)</f>
        <v>100</v>
      </c>
      <c r="BB349" s="718" t="str">
        <f>IF(BA349&lt;=50, "Débil", IF(BA349&lt;=99,"Moderado","Fuerte"))</f>
        <v>Fuerte</v>
      </c>
      <c r="BC349" s="142">
        <f>+IF(AND(W349="Preventivo",BB349="Fuerte"),2,IF(AND(W349="Preventivo",BB349="Moderado"),1,0))</f>
        <v>0</v>
      </c>
      <c r="BD349" s="68">
        <f>+IF(AND(W349="Detectivo/Correctivo",$BB349="Fuerte"),2,IF(AND(W349="Detectivo/Correctivo",$BB349="Moderado"),1,IF(AND(W349="Preventivo",$BB349="Fuerte"),1,0)))</f>
        <v>0</v>
      </c>
      <c r="BE349" s="142" t="e">
        <f>+N349-BC349</f>
        <v>#N/A</v>
      </c>
      <c r="BF349" s="142" t="e">
        <f>+P349-BD349</f>
        <v>#N/A</v>
      </c>
      <c r="BG349" s="712" t="e">
        <f>+VLOOKUP(MIN(BE349,BE350,BE351,BE352,BE353,BE354),Listados!$J$18:$K$24,2,TRUE)</f>
        <v>#N/A</v>
      </c>
      <c r="BH349" s="712" t="e">
        <f>+VLOOKUP(MIN(BF349,BF350,BF351,BF352,BF353,BF354),Listados!$J$27:$K$32,2,TRUE)</f>
        <v>#N/A</v>
      </c>
      <c r="BI349" s="712" t="e">
        <f>IF(AND(BG349&lt;&gt;"",BH349&lt;&gt;""),VLOOKUP(BG349&amp;BH349,Listados!$M$3:$N$27,2,FALSE),"")</f>
        <v>#N/A</v>
      </c>
      <c r="BJ349" s="802" t="e">
        <f>+IF($R349="Asumir el riesgo","NA","")</f>
        <v>#N/A</v>
      </c>
      <c r="BK349" s="802" t="e">
        <f>+IF($R349="Asumir el riesgo","NA","")</f>
        <v>#N/A</v>
      </c>
      <c r="BL349" s="802" t="e">
        <f>+IF($R349="Asumir el riesgo","NA","")</f>
        <v>#N/A</v>
      </c>
      <c r="BM349" s="802" t="e">
        <f>+IF($R349="Asumir el riesgo","NA","")</f>
        <v>#N/A</v>
      </c>
    </row>
    <row r="350" spans="1:65" ht="65.150000000000006" customHeight="1" thickBot="1">
      <c r="A350" s="724"/>
      <c r="B350" s="812"/>
      <c r="C350" s="730"/>
      <c r="D350" s="158"/>
      <c r="E350" s="158"/>
      <c r="F350" s="814"/>
      <c r="G350" s="736"/>
      <c r="H350" s="105"/>
      <c r="I350" s="161"/>
      <c r="J350" s="105"/>
      <c r="K350" s="160"/>
      <c r="L350" s="150"/>
      <c r="M350" s="727"/>
      <c r="N350" s="720"/>
      <c r="O350" s="810"/>
      <c r="P350" s="720"/>
      <c r="Q350" s="715"/>
      <c r="R350" s="713"/>
      <c r="S350" s="140"/>
      <c r="T350" s="180"/>
      <c r="U350" s="52" t="s">
        <v>467</v>
      </c>
      <c r="V350" s="145"/>
      <c r="W350" s="145"/>
      <c r="X350" s="145"/>
      <c r="Y350" s="99" t="str">
        <f t="shared" si="61"/>
        <v/>
      </c>
      <c r="Z350" s="145"/>
      <c r="AA350" s="99" t="str">
        <f t="shared" si="62"/>
        <v/>
      </c>
      <c r="AB350" s="140"/>
      <c r="AC350" s="99" t="str">
        <f t="shared" si="63"/>
        <v/>
      </c>
      <c r="AD350" s="140"/>
      <c r="AE350" s="99" t="str">
        <f t="shared" si="64"/>
        <v/>
      </c>
      <c r="AF350" s="140"/>
      <c r="AG350" s="99" t="str">
        <f t="shared" si="65"/>
        <v/>
      </c>
      <c r="AH350" s="140"/>
      <c r="AI350" s="99" t="str">
        <f t="shared" si="66"/>
        <v/>
      </c>
      <c r="AJ350" s="140"/>
      <c r="AK350" s="28" t="str">
        <f t="shared" si="67"/>
        <v/>
      </c>
      <c r="AL350" s="111" t="str">
        <f t="shared" si="68"/>
        <v/>
      </c>
      <c r="AM350" s="111" t="str">
        <f t="shared" si="69"/>
        <v/>
      </c>
      <c r="AN350" s="178"/>
      <c r="AO350" s="178"/>
      <c r="AP350" s="178"/>
      <c r="AQ350" s="178"/>
      <c r="AR350" s="178"/>
      <c r="AS350" s="178"/>
      <c r="AT350" s="178"/>
      <c r="AU350" s="179" t="str">
        <f>IFERROR(VLOOKUP(AT350,'Seguridad Información'!$I$61:$J$65,2,0),"")</f>
        <v/>
      </c>
      <c r="AV350" s="83"/>
      <c r="AW350" s="82" t="str">
        <f t="shared" si="60"/>
        <v/>
      </c>
      <c r="AX350" s="81" t="str">
        <f t="shared" si="70"/>
        <v/>
      </c>
      <c r="AY350" s="22" t="str">
        <f>IFERROR(VLOOKUP((CONCATENATE(AM350,AX350)),Listados!$U$3:$V$11,2,FALSE),"")</f>
        <v/>
      </c>
      <c r="AZ350" s="111">
        <f t="shared" si="71"/>
        <v>100</v>
      </c>
      <c r="BA350" s="717"/>
      <c r="BB350" s="761"/>
      <c r="BC350" s="142">
        <f>+IF(AND(W350="Preventivo",BB349="Fuerte"),2,IF(AND(W350="Preventivo",BB349="Moderado"),1,0))</f>
        <v>0</v>
      </c>
      <c r="BD350" s="68">
        <f>+IF(AND(W350="Detectivo/Correctivo",$BB349="Fuerte"),2,IF(AND(W350="Detectivo/Correctivo",$BB350="Moderado"),1,IF(AND(W350="Preventivo",$BB349="Fuerte"),1,0)))</f>
        <v>0</v>
      </c>
      <c r="BE350" s="142" t="e">
        <f>+N349-BC350</f>
        <v>#N/A</v>
      </c>
      <c r="BF350" s="142" t="e">
        <f>+P349-BD350</f>
        <v>#N/A</v>
      </c>
      <c r="BG350" s="713"/>
      <c r="BH350" s="713"/>
      <c r="BI350" s="713"/>
      <c r="BJ350" s="803"/>
      <c r="BK350" s="803"/>
      <c r="BL350" s="803"/>
      <c r="BM350" s="803"/>
    </row>
    <row r="351" spans="1:65" ht="65.150000000000006" customHeight="1" thickBot="1">
      <c r="A351" s="724"/>
      <c r="B351" s="812"/>
      <c r="C351" s="730"/>
      <c r="D351" s="158"/>
      <c r="E351" s="158"/>
      <c r="F351" s="814"/>
      <c r="G351" s="736"/>
      <c r="H351" s="105"/>
      <c r="I351" s="161"/>
      <c r="J351" s="105"/>
      <c r="K351" s="160"/>
      <c r="L351" s="150"/>
      <c r="M351" s="727"/>
      <c r="N351" s="720"/>
      <c r="O351" s="810"/>
      <c r="P351" s="720"/>
      <c r="Q351" s="715"/>
      <c r="R351" s="713"/>
      <c r="S351" s="140"/>
      <c r="T351" s="100"/>
      <c r="U351" s="52" t="s">
        <v>467</v>
      </c>
      <c r="V351" s="145"/>
      <c r="W351" s="145"/>
      <c r="X351" s="145"/>
      <c r="Y351" s="99" t="str">
        <f t="shared" si="61"/>
        <v/>
      </c>
      <c r="Z351" s="145"/>
      <c r="AA351" s="99" t="str">
        <f t="shared" si="62"/>
        <v/>
      </c>
      <c r="AB351" s="140"/>
      <c r="AC351" s="99" t="str">
        <f t="shared" si="63"/>
        <v/>
      </c>
      <c r="AD351" s="140"/>
      <c r="AE351" s="99" t="str">
        <f t="shared" si="64"/>
        <v/>
      </c>
      <c r="AF351" s="140"/>
      <c r="AG351" s="99" t="str">
        <f t="shared" si="65"/>
        <v/>
      </c>
      <c r="AH351" s="140"/>
      <c r="AI351" s="99" t="str">
        <f t="shared" si="66"/>
        <v/>
      </c>
      <c r="AJ351" s="140"/>
      <c r="AK351" s="28" t="str">
        <f t="shared" si="67"/>
        <v/>
      </c>
      <c r="AL351" s="111" t="str">
        <f t="shared" si="68"/>
        <v/>
      </c>
      <c r="AM351" s="111" t="str">
        <f t="shared" si="69"/>
        <v/>
      </c>
      <c r="AN351" s="178"/>
      <c r="AO351" s="178"/>
      <c r="AP351" s="178"/>
      <c r="AQ351" s="178"/>
      <c r="AR351" s="178"/>
      <c r="AS351" s="178"/>
      <c r="AT351" s="178"/>
      <c r="AU351" s="179" t="str">
        <f>IFERROR(VLOOKUP(AT351,'Seguridad Información'!$I$61:$J$65,2,0),"")</f>
        <v/>
      </c>
      <c r="AV351" s="83"/>
      <c r="AW351" s="82" t="str">
        <f t="shared" si="60"/>
        <v/>
      </c>
      <c r="AX351" s="81" t="str">
        <f t="shared" si="70"/>
        <v/>
      </c>
      <c r="AY351" s="22" t="str">
        <f>IFERROR(VLOOKUP((CONCATENATE(AM351,AX351)),Listados!$U$3:$V$11,2,FALSE),"")</f>
        <v/>
      </c>
      <c r="AZ351" s="111">
        <f t="shared" si="71"/>
        <v>100</v>
      </c>
      <c r="BA351" s="717"/>
      <c r="BB351" s="761"/>
      <c r="BC351" s="142">
        <f>+IF(AND(W351="Preventivo",BB349="Fuerte"),2,IF(AND(W351="Preventivo",BB349="Moderado"),1,0))</f>
        <v>0</v>
      </c>
      <c r="BD351" s="68">
        <f>+IF(AND(W351="Detectivo/Correctivo",$BB349="Fuerte"),2,IF(AND(W351="Detectivo/Correctivo",$BB351="Moderado"),1,IF(AND(W351="Preventivo",$BB349="Fuerte"),1,0)))</f>
        <v>0</v>
      </c>
      <c r="BE351" s="142" t="e">
        <f>+N349-BC351</f>
        <v>#N/A</v>
      </c>
      <c r="BF351" s="142" t="e">
        <f>+P349-BD351</f>
        <v>#N/A</v>
      </c>
      <c r="BG351" s="713"/>
      <c r="BH351" s="713"/>
      <c r="BI351" s="713"/>
      <c r="BJ351" s="803"/>
      <c r="BK351" s="803"/>
      <c r="BL351" s="803"/>
      <c r="BM351" s="803"/>
    </row>
    <row r="352" spans="1:65" ht="65.150000000000006" customHeight="1" thickBot="1">
      <c r="A352" s="724"/>
      <c r="B352" s="812"/>
      <c r="C352" s="730"/>
      <c r="D352" s="158"/>
      <c r="E352" s="158"/>
      <c r="F352" s="814"/>
      <c r="G352" s="736"/>
      <c r="H352" s="105"/>
      <c r="I352" s="161"/>
      <c r="J352" s="105"/>
      <c r="K352" s="160"/>
      <c r="L352" s="150"/>
      <c r="M352" s="727"/>
      <c r="N352" s="720"/>
      <c r="O352" s="810"/>
      <c r="P352" s="720"/>
      <c r="Q352" s="715"/>
      <c r="R352" s="713"/>
      <c r="S352" s="140"/>
      <c r="T352" s="101"/>
      <c r="U352" s="52" t="s">
        <v>467</v>
      </c>
      <c r="V352" s="145"/>
      <c r="W352" s="145"/>
      <c r="X352" s="145"/>
      <c r="Y352" s="99" t="str">
        <f t="shared" si="61"/>
        <v/>
      </c>
      <c r="Z352" s="145"/>
      <c r="AA352" s="99" t="str">
        <f t="shared" si="62"/>
        <v/>
      </c>
      <c r="AB352" s="140"/>
      <c r="AC352" s="99" t="str">
        <f t="shared" si="63"/>
        <v/>
      </c>
      <c r="AD352" s="140"/>
      <c r="AE352" s="99" t="str">
        <f t="shared" si="64"/>
        <v/>
      </c>
      <c r="AF352" s="140"/>
      <c r="AG352" s="99" t="str">
        <f t="shared" si="65"/>
        <v/>
      </c>
      <c r="AH352" s="140"/>
      <c r="AI352" s="99" t="str">
        <f t="shared" si="66"/>
        <v/>
      </c>
      <c r="AJ352" s="140"/>
      <c r="AK352" s="28" t="str">
        <f t="shared" si="67"/>
        <v/>
      </c>
      <c r="AL352" s="111" t="str">
        <f t="shared" si="68"/>
        <v/>
      </c>
      <c r="AM352" s="111" t="str">
        <f t="shared" si="69"/>
        <v/>
      </c>
      <c r="AN352" s="178"/>
      <c r="AO352" s="178"/>
      <c r="AP352" s="178"/>
      <c r="AQ352" s="178"/>
      <c r="AR352" s="178"/>
      <c r="AS352" s="178"/>
      <c r="AT352" s="178"/>
      <c r="AU352" s="179" t="str">
        <f>IFERROR(VLOOKUP(AT352,'Seguridad Información'!$I$61:$J$65,2,0),"")</f>
        <v/>
      </c>
      <c r="AV352" s="83"/>
      <c r="AW352" s="82" t="str">
        <f t="shared" si="60"/>
        <v/>
      </c>
      <c r="AX352" s="81" t="str">
        <f t="shared" si="70"/>
        <v/>
      </c>
      <c r="AY352" s="22" t="str">
        <f>IFERROR(VLOOKUP((CONCATENATE(AM352,AX352)),Listados!$U$3:$V$11,2,FALSE),"")</f>
        <v/>
      </c>
      <c r="AZ352" s="111">
        <f t="shared" si="71"/>
        <v>100</v>
      </c>
      <c r="BA352" s="717"/>
      <c r="BB352" s="761"/>
      <c r="BC352" s="142">
        <f>+IF(AND(W352="Preventivo",BB349="Fuerte"),2,IF(AND(W352="Preventivo",BB349="Moderado"),1,0))</f>
        <v>0</v>
      </c>
      <c r="BD352" s="68">
        <f>+IF(AND(W352="Detectivo/Correctivo",$BB349="Fuerte"),2,IF(AND(W352="Detectivo/Correctivo",$BB352="Moderado"),1,IF(AND(W352="Preventivo",$BB349="Fuerte"),1,0)))</f>
        <v>0</v>
      </c>
      <c r="BE352" s="142" t="e">
        <f>+N349-BC352</f>
        <v>#N/A</v>
      </c>
      <c r="BF352" s="142" t="e">
        <f>+P349-BD352</f>
        <v>#N/A</v>
      </c>
      <c r="BG352" s="713"/>
      <c r="BH352" s="713"/>
      <c r="BI352" s="713"/>
      <c r="BJ352" s="803"/>
      <c r="BK352" s="803"/>
      <c r="BL352" s="803"/>
      <c r="BM352" s="803"/>
    </row>
    <row r="353" spans="1:65" ht="65.150000000000006" customHeight="1" thickBot="1">
      <c r="A353" s="724"/>
      <c r="B353" s="812"/>
      <c r="C353" s="730"/>
      <c r="D353" s="116"/>
      <c r="E353" s="116"/>
      <c r="F353" s="814"/>
      <c r="G353" s="736"/>
      <c r="H353" s="105"/>
      <c r="I353" s="161"/>
      <c r="J353" s="105"/>
      <c r="K353" s="29"/>
      <c r="L353" s="150"/>
      <c r="M353" s="727"/>
      <c r="N353" s="720"/>
      <c r="O353" s="810"/>
      <c r="P353" s="720"/>
      <c r="Q353" s="715"/>
      <c r="R353" s="713"/>
      <c r="S353" s="140"/>
      <c r="T353" s="180"/>
      <c r="U353" s="52" t="s">
        <v>467</v>
      </c>
      <c r="V353" s="145"/>
      <c r="W353" s="145"/>
      <c r="X353" s="145"/>
      <c r="Y353" s="99" t="str">
        <f t="shared" si="61"/>
        <v/>
      </c>
      <c r="Z353" s="145"/>
      <c r="AA353" s="99" t="str">
        <f t="shared" si="62"/>
        <v/>
      </c>
      <c r="AB353" s="140"/>
      <c r="AC353" s="99" t="str">
        <f t="shared" si="63"/>
        <v/>
      </c>
      <c r="AD353" s="140"/>
      <c r="AE353" s="99" t="str">
        <f t="shared" si="64"/>
        <v/>
      </c>
      <c r="AF353" s="140"/>
      <c r="AG353" s="99" t="str">
        <f t="shared" si="65"/>
        <v/>
      </c>
      <c r="AH353" s="140"/>
      <c r="AI353" s="99" t="str">
        <f t="shared" si="66"/>
        <v/>
      </c>
      <c r="AJ353" s="140"/>
      <c r="AK353" s="28" t="str">
        <f t="shared" si="67"/>
        <v/>
      </c>
      <c r="AL353" s="111" t="str">
        <f t="shared" si="68"/>
        <v/>
      </c>
      <c r="AM353" s="111" t="str">
        <f t="shared" si="69"/>
        <v/>
      </c>
      <c r="AN353" s="178"/>
      <c r="AO353" s="178"/>
      <c r="AP353" s="178"/>
      <c r="AQ353" s="178"/>
      <c r="AR353" s="178"/>
      <c r="AS353" s="178"/>
      <c r="AT353" s="178"/>
      <c r="AU353" s="179" t="str">
        <f>IFERROR(VLOOKUP(AT353,'Seguridad Información'!$I$61:$J$65,2,0),"")</f>
        <v/>
      </c>
      <c r="AV353" s="83"/>
      <c r="AW353" s="82" t="str">
        <f t="shared" si="60"/>
        <v/>
      </c>
      <c r="AX353" s="81" t="str">
        <f t="shared" si="70"/>
        <v/>
      </c>
      <c r="AY353" s="22" t="str">
        <f>IFERROR(VLOOKUP((CONCATENATE(AM353,AX353)),Listados!$U$3:$V$11,2,FALSE),"")</f>
        <v/>
      </c>
      <c r="AZ353" s="111">
        <f t="shared" si="71"/>
        <v>100</v>
      </c>
      <c r="BA353" s="717"/>
      <c r="BB353" s="761"/>
      <c r="BC353" s="142">
        <f>+IF(AND(W353="Preventivo",BB349="Fuerte"),2,IF(AND(W353="Preventivo",BB349="Moderado"),1,0))</f>
        <v>0</v>
      </c>
      <c r="BD353" s="68">
        <f>+IF(AND(W353="Detectivo/Correctivo",$BB349="Fuerte"),2,IF(AND(W353="Detectivo/Correctivo",$BB353="Moderado"),1,IF(AND(W353="Preventivo",$BB349="Fuerte"),1,0)))</f>
        <v>0</v>
      </c>
      <c r="BE353" s="142" t="e">
        <f>+N349-BC353</f>
        <v>#N/A</v>
      </c>
      <c r="BF353" s="142" t="e">
        <f>+P349-BD353</f>
        <v>#N/A</v>
      </c>
      <c r="BG353" s="713"/>
      <c r="BH353" s="713"/>
      <c r="BI353" s="713"/>
      <c r="BJ353" s="803"/>
      <c r="BK353" s="803"/>
      <c r="BL353" s="803"/>
      <c r="BM353" s="803"/>
    </row>
    <row r="354" spans="1:65" ht="65.150000000000006" customHeight="1" thickBot="1">
      <c r="A354" s="725"/>
      <c r="B354" s="812"/>
      <c r="C354" s="731"/>
      <c r="D354" s="113"/>
      <c r="E354" s="113"/>
      <c r="F354" s="815"/>
      <c r="G354" s="781"/>
      <c r="H354" s="105"/>
      <c r="I354" s="161"/>
      <c r="J354" s="105"/>
      <c r="K354" s="30"/>
      <c r="L354" s="150"/>
      <c r="M354" s="727"/>
      <c r="N354" s="721"/>
      <c r="O354" s="810"/>
      <c r="P354" s="721"/>
      <c r="Q354" s="715"/>
      <c r="R354" s="714"/>
      <c r="S354" s="140"/>
      <c r="T354" s="102"/>
      <c r="U354" s="52" t="s">
        <v>467</v>
      </c>
      <c r="V354" s="145"/>
      <c r="W354" s="145"/>
      <c r="X354" s="145"/>
      <c r="Y354" s="99" t="str">
        <f t="shared" si="61"/>
        <v/>
      </c>
      <c r="Z354" s="145"/>
      <c r="AA354" s="99" t="str">
        <f t="shared" si="62"/>
        <v/>
      </c>
      <c r="AB354" s="140"/>
      <c r="AC354" s="99" t="str">
        <f t="shared" si="63"/>
        <v/>
      </c>
      <c r="AD354" s="140"/>
      <c r="AE354" s="99" t="str">
        <f t="shared" si="64"/>
        <v/>
      </c>
      <c r="AF354" s="140"/>
      <c r="AG354" s="99" t="str">
        <f t="shared" si="65"/>
        <v/>
      </c>
      <c r="AH354" s="140"/>
      <c r="AI354" s="99" t="str">
        <f t="shared" si="66"/>
        <v/>
      </c>
      <c r="AJ354" s="140"/>
      <c r="AK354" s="28" t="str">
        <f t="shared" si="67"/>
        <v/>
      </c>
      <c r="AL354" s="111" t="str">
        <f t="shared" si="68"/>
        <v/>
      </c>
      <c r="AM354" s="111" t="str">
        <f t="shared" si="69"/>
        <v/>
      </c>
      <c r="AN354" s="178"/>
      <c r="AO354" s="178"/>
      <c r="AP354" s="178"/>
      <c r="AQ354" s="178"/>
      <c r="AR354" s="178"/>
      <c r="AS354" s="178"/>
      <c r="AT354" s="178"/>
      <c r="AU354" s="179" t="str">
        <f>IFERROR(VLOOKUP(AT354,'Seguridad Información'!$I$61:$J$65,2,0),"")</f>
        <v/>
      </c>
      <c r="AV354" s="83"/>
      <c r="AW354" s="82" t="str">
        <f t="shared" si="60"/>
        <v/>
      </c>
      <c r="AX354" s="81" t="str">
        <f t="shared" si="70"/>
        <v/>
      </c>
      <c r="AY354" s="22" t="str">
        <f>IFERROR(VLOOKUP((CONCATENATE(AM354,AX354)),Listados!$U$3:$V$11,2,FALSE),"")</f>
        <v/>
      </c>
      <c r="AZ354" s="111">
        <f t="shared" si="71"/>
        <v>100</v>
      </c>
      <c r="BA354" s="718"/>
      <c r="BB354" s="761"/>
      <c r="BC354" s="142">
        <f>+IF(AND(W354="Preventivo",BB349="Fuerte"),2,IF(AND(W354="Preventivo",BB349="Moderado"),1,0))</f>
        <v>0</v>
      </c>
      <c r="BD354" s="68">
        <f>+IF(AND(W354="Detectivo/Correctivo",$BB349="Fuerte"),2,IF(AND(W354="Detectivo/Correctivo",$BB354="Moderado"),1,IF(AND(W354="Preventivo",$BB349="Fuerte"),1,0)))</f>
        <v>0</v>
      </c>
      <c r="BE354" s="142" t="e">
        <f>+N349-BC354</f>
        <v>#N/A</v>
      </c>
      <c r="BF354" s="142" t="e">
        <f>+P349-BD354</f>
        <v>#N/A</v>
      </c>
      <c r="BG354" s="714"/>
      <c r="BH354" s="714"/>
      <c r="BI354" s="714"/>
      <c r="BJ354" s="804"/>
      <c r="BK354" s="804"/>
      <c r="BL354" s="804"/>
      <c r="BM354" s="804"/>
    </row>
    <row r="355" spans="1:65" ht="65.150000000000006" customHeight="1" thickBot="1">
      <c r="A355" s="723">
        <v>59</v>
      </c>
      <c r="B355" s="811"/>
      <c r="C355" s="729" t="str">
        <f>IFERROR(VLOOKUP(B355,Listados!B$3:C$20,2,FALSE),"")</f>
        <v/>
      </c>
      <c r="D355" s="114"/>
      <c r="E355" s="114"/>
      <c r="F355" s="813"/>
      <c r="G355" s="735"/>
      <c r="H355" s="105"/>
      <c r="I355" s="161"/>
      <c r="J355" s="105"/>
      <c r="K355" s="109"/>
      <c r="L355" s="18"/>
      <c r="M355" s="762"/>
      <c r="N355" s="719" t="e">
        <f>+VLOOKUP(M355,Listados!$K$8:$L$12,2,0)</f>
        <v>#N/A</v>
      </c>
      <c r="O355" s="809"/>
      <c r="P355" s="719" t="e">
        <f>+VLOOKUP(O355,Listados!$K$13:$L$17,2,0)</f>
        <v>#N/A</v>
      </c>
      <c r="Q355" s="714" t="str">
        <f>IF(AND(M355&lt;&gt;"",O355&lt;&gt;""),VLOOKUP(M355&amp;O355,Listados!$M$3:$N$27,2,FALSE),"")</f>
        <v/>
      </c>
      <c r="R355" s="712" t="e">
        <f>+VLOOKUP(Q355,Listados!$P$3:$Q$6,2,FALSE)</f>
        <v>#N/A</v>
      </c>
      <c r="S355" s="140"/>
      <c r="T355" s="98"/>
      <c r="U355" s="52" t="s">
        <v>467</v>
      </c>
      <c r="V355" s="145"/>
      <c r="W355" s="145"/>
      <c r="X355" s="145"/>
      <c r="Y355" s="99" t="str">
        <f t="shared" si="61"/>
        <v/>
      </c>
      <c r="Z355" s="145"/>
      <c r="AA355" s="99" t="str">
        <f t="shared" si="62"/>
        <v/>
      </c>
      <c r="AB355" s="140"/>
      <c r="AC355" s="99" t="str">
        <f t="shared" si="63"/>
        <v/>
      </c>
      <c r="AD355" s="140"/>
      <c r="AE355" s="99" t="str">
        <f t="shared" si="64"/>
        <v/>
      </c>
      <c r="AF355" s="140"/>
      <c r="AG355" s="99" t="str">
        <f t="shared" si="65"/>
        <v/>
      </c>
      <c r="AH355" s="140"/>
      <c r="AI355" s="99" t="str">
        <f t="shared" si="66"/>
        <v/>
      </c>
      <c r="AJ355" s="140"/>
      <c r="AK355" s="28" t="str">
        <f t="shared" si="67"/>
        <v/>
      </c>
      <c r="AL355" s="111" t="str">
        <f t="shared" si="68"/>
        <v/>
      </c>
      <c r="AM355" s="111" t="str">
        <f t="shared" si="69"/>
        <v/>
      </c>
      <c r="AN355" s="178"/>
      <c r="AO355" s="178"/>
      <c r="AP355" s="178"/>
      <c r="AQ355" s="178"/>
      <c r="AR355" s="178"/>
      <c r="AS355" s="178"/>
      <c r="AT355" s="178"/>
      <c r="AU355" s="179" t="str">
        <f>IFERROR(VLOOKUP(AT355,'Seguridad Información'!$I$61:$J$65,2,0),"")</f>
        <v/>
      </c>
      <c r="AV355" s="83"/>
      <c r="AW355" s="82" t="str">
        <f t="shared" si="60"/>
        <v/>
      </c>
      <c r="AX355" s="81" t="str">
        <f t="shared" si="70"/>
        <v/>
      </c>
      <c r="AY355" s="22" t="str">
        <f>IFERROR(VLOOKUP((CONCATENATE(AM355,AX355)),Listados!$U$3:$V$11,2,FALSE),"")</f>
        <v/>
      </c>
      <c r="AZ355" s="111">
        <f t="shared" si="71"/>
        <v>100</v>
      </c>
      <c r="BA355" s="716">
        <f>AVERAGE(AZ355:AZ360)</f>
        <v>100</v>
      </c>
      <c r="BB355" s="718" t="str">
        <f>IF(BA355&lt;=50, "Débil", IF(BA355&lt;=99,"Moderado","Fuerte"))</f>
        <v>Fuerte</v>
      </c>
      <c r="BC355" s="142">
        <f>+IF(AND(W355="Preventivo",BB355="Fuerte"),2,IF(AND(W355="Preventivo",BB355="Moderado"),1,0))</f>
        <v>0</v>
      </c>
      <c r="BD355" s="68">
        <f>+IF(AND(W355="Detectivo/Correctivo",$BB355="Fuerte"),2,IF(AND(W355="Detectivo/Correctivo",$BB355="Moderado"),1,IF(AND(W355="Preventivo",$BB355="Fuerte"),1,0)))</f>
        <v>0</v>
      </c>
      <c r="BE355" s="142" t="e">
        <f>+N355-BC355</f>
        <v>#N/A</v>
      </c>
      <c r="BF355" s="142" t="e">
        <f>+P355-BD355</f>
        <v>#N/A</v>
      </c>
      <c r="BG355" s="712" t="e">
        <f>+VLOOKUP(MIN(BE355,BE356,BE357,BE358,BE359,BE360),Listados!$J$18:$K$24,2,TRUE)</f>
        <v>#N/A</v>
      </c>
      <c r="BH355" s="712" t="e">
        <f>+VLOOKUP(MIN(BF355,BF356,BF357,BF358,BF359,BF360),Listados!$J$27:$K$32,2,TRUE)</f>
        <v>#N/A</v>
      </c>
      <c r="BI355" s="712" t="e">
        <f>IF(AND(BG355&lt;&gt;"",BH355&lt;&gt;""),VLOOKUP(BG355&amp;BH355,Listados!$M$3:$N$27,2,FALSE),"")</f>
        <v>#N/A</v>
      </c>
      <c r="BJ355" s="802" t="e">
        <f>+IF($R355="Asumir el riesgo","NA","")</f>
        <v>#N/A</v>
      </c>
      <c r="BK355" s="802" t="e">
        <f>+IF($R355="Asumir el riesgo","NA","")</f>
        <v>#N/A</v>
      </c>
      <c r="BL355" s="802" t="e">
        <f>+IF($R355="Asumir el riesgo","NA","")</f>
        <v>#N/A</v>
      </c>
      <c r="BM355" s="802" t="e">
        <f>+IF($R355="Asumir el riesgo","NA","")</f>
        <v>#N/A</v>
      </c>
    </row>
    <row r="356" spans="1:65" ht="65.150000000000006" customHeight="1" thickBot="1">
      <c r="A356" s="724"/>
      <c r="B356" s="812"/>
      <c r="C356" s="730"/>
      <c r="D356" s="158"/>
      <c r="E356" s="158"/>
      <c r="F356" s="814"/>
      <c r="G356" s="736"/>
      <c r="H356" s="105"/>
      <c r="I356" s="161"/>
      <c r="J356" s="105"/>
      <c r="K356" s="160"/>
      <c r="L356" s="150"/>
      <c r="M356" s="727"/>
      <c r="N356" s="720"/>
      <c r="O356" s="810"/>
      <c r="P356" s="720"/>
      <c r="Q356" s="715"/>
      <c r="R356" s="713"/>
      <c r="S356" s="140"/>
      <c r="T356" s="180"/>
      <c r="U356" s="52" t="s">
        <v>467</v>
      </c>
      <c r="V356" s="145"/>
      <c r="W356" s="145"/>
      <c r="X356" s="145"/>
      <c r="Y356" s="99" t="str">
        <f t="shared" si="61"/>
        <v/>
      </c>
      <c r="Z356" s="145"/>
      <c r="AA356" s="99" t="str">
        <f t="shared" si="62"/>
        <v/>
      </c>
      <c r="AB356" s="140"/>
      <c r="AC356" s="99" t="str">
        <f t="shared" si="63"/>
        <v/>
      </c>
      <c r="AD356" s="140"/>
      <c r="AE356" s="99" t="str">
        <f t="shared" si="64"/>
        <v/>
      </c>
      <c r="AF356" s="140"/>
      <c r="AG356" s="99" t="str">
        <f t="shared" si="65"/>
        <v/>
      </c>
      <c r="AH356" s="140"/>
      <c r="AI356" s="99" t="str">
        <f t="shared" si="66"/>
        <v/>
      </c>
      <c r="AJ356" s="140"/>
      <c r="AK356" s="28" t="str">
        <f t="shared" si="67"/>
        <v/>
      </c>
      <c r="AL356" s="111" t="str">
        <f t="shared" si="68"/>
        <v/>
      </c>
      <c r="AM356" s="111" t="str">
        <f t="shared" si="69"/>
        <v/>
      </c>
      <c r="AN356" s="178"/>
      <c r="AO356" s="178"/>
      <c r="AP356" s="178"/>
      <c r="AQ356" s="178"/>
      <c r="AR356" s="178"/>
      <c r="AS356" s="178"/>
      <c r="AT356" s="178"/>
      <c r="AU356" s="179" t="str">
        <f>IFERROR(VLOOKUP(AT356,'Seguridad Información'!$I$61:$J$65,2,0),"")</f>
        <v/>
      </c>
      <c r="AV356" s="83"/>
      <c r="AW356" s="82" t="str">
        <f t="shared" si="60"/>
        <v/>
      </c>
      <c r="AX356" s="81" t="str">
        <f t="shared" si="70"/>
        <v/>
      </c>
      <c r="AY356" s="22" t="str">
        <f>IFERROR(VLOOKUP((CONCATENATE(AM356,AX356)),Listados!$U$3:$V$11,2,FALSE),"")</f>
        <v/>
      </c>
      <c r="AZ356" s="111">
        <f t="shared" si="71"/>
        <v>100</v>
      </c>
      <c r="BA356" s="717"/>
      <c r="BB356" s="761"/>
      <c r="BC356" s="142">
        <f>+IF(AND(W356="Preventivo",BB355="Fuerte"),2,IF(AND(W356="Preventivo",BB355="Moderado"),1,0))</f>
        <v>0</v>
      </c>
      <c r="BD356" s="68">
        <f>+IF(AND(W356="Detectivo/Correctivo",$BB355="Fuerte"),2,IF(AND(W356="Detectivo/Correctivo",$BB356="Moderado"),1,IF(AND(W356="Preventivo",$BB355="Fuerte"),1,0)))</f>
        <v>0</v>
      </c>
      <c r="BE356" s="142" t="e">
        <f>+N355-BC356</f>
        <v>#N/A</v>
      </c>
      <c r="BF356" s="142" t="e">
        <f>+P355-BD356</f>
        <v>#N/A</v>
      </c>
      <c r="BG356" s="713"/>
      <c r="BH356" s="713"/>
      <c r="BI356" s="713"/>
      <c r="BJ356" s="803"/>
      <c r="BK356" s="803"/>
      <c r="BL356" s="803"/>
      <c r="BM356" s="803"/>
    </row>
    <row r="357" spans="1:65" ht="65.150000000000006" customHeight="1" thickBot="1">
      <c r="A357" s="724"/>
      <c r="B357" s="812"/>
      <c r="C357" s="730"/>
      <c r="D357" s="158"/>
      <c r="E357" s="158"/>
      <c r="F357" s="814"/>
      <c r="G357" s="736"/>
      <c r="H357" s="105"/>
      <c r="I357" s="161"/>
      <c r="J357" s="105"/>
      <c r="K357" s="160"/>
      <c r="L357" s="150"/>
      <c r="M357" s="727"/>
      <c r="N357" s="720"/>
      <c r="O357" s="810"/>
      <c r="P357" s="720"/>
      <c r="Q357" s="715"/>
      <c r="R357" s="713"/>
      <c r="S357" s="140"/>
      <c r="T357" s="100"/>
      <c r="U357" s="52" t="s">
        <v>467</v>
      </c>
      <c r="V357" s="145"/>
      <c r="W357" s="145"/>
      <c r="X357" s="145"/>
      <c r="Y357" s="99" t="str">
        <f t="shared" si="61"/>
        <v/>
      </c>
      <c r="Z357" s="145"/>
      <c r="AA357" s="99" t="str">
        <f t="shared" si="62"/>
        <v/>
      </c>
      <c r="AB357" s="140"/>
      <c r="AC357" s="99" t="str">
        <f t="shared" si="63"/>
        <v/>
      </c>
      <c r="AD357" s="140"/>
      <c r="AE357" s="99" t="str">
        <f t="shared" si="64"/>
        <v/>
      </c>
      <c r="AF357" s="140"/>
      <c r="AG357" s="99" t="str">
        <f t="shared" si="65"/>
        <v/>
      </c>
      <c r="AH357" s="140"/>
      <c r="AI357" s="99" t="str">
        <f t="shared" si="66"/>
        <v/>
      </c>
      <c r="AJ357" s="140"/>
      <c r="AK357" s="28" t="str">
        <f t="shared" si="67"/>
        <v/>
      </c>
      <c r="AL357" s="111" t="str">
        <f t="shared" si="68"/>
        <v/>
      </c>
      <c r="AM357" s="111" t="str">
        <f t="shared" si="69"/>
        <v/>
      </c>
      <c r="AN357" s="178"/>
      <c r="AO357" s="178"/>
      <c r="AP357" s="178"/>
      <c r="AQ357" s="178"/>
      <c r="AR357" s="178"/>
      <c r="AS357" s="178"/>
      <c r="AT357" s="178"/>
      <c r="AU357" s="179" t="str">
        <f>IFERROR(VLOOKUP(AT357,'Seguridad Información'!$I$61:$J$65,2,0),"")</f>
        <v/>
      </c>
      <c r="AV357" s="83"/>
      <c r="AW357" s="82" t="str">
        <f t="shared" si="60"/>
        <v/>
      </c>
      <c r="AX357" s="81" t="str">
        <f t="shared" si="70"/>
        <v/>
      </c>
      <c r="AY357" s="22" t="str">
        <f>IFERROR(VLOOKUP((CONCATENATE(AM357,AX357)),Listados!$U$3:$V$11,2,FALSE),"")</f>
        <v/>
      </c>
      <c r="AZ357" s="111">
        <f t="shared" si="71"/>
        <v>100</v>
      </c>
      <c r="BA357" s="717"/>
      <c r="BB357" s="761"/>
      <c r="BC357" s="142">
        <f>+IF(AND(W357="Preventivo",BB355="Fuerte"),2,IF(AND(W357="Preventivo",BB355="Moderado"),1,0))</f>
        <v>0</v>
      </c>
      <c r="BD357" s="68">
        <f>+IF(AND(W357="Detectivo/Correctivo",$BB355="Fuerte"),2,IF(AND(W357="Detectivo/Correctivo",$BB357="Moderado"),1,IF(AND(W357="Preventivo",$BB355="Fuerte"),1,0)))</f>
        <v>0</v>
      </c>
      <c r="BE357" s="142" t="e">
        <f>+N355-BC357</f>
        <v>#N/A</v>
      </c>
      <c r="BF357" s="142" t="e">
        <f>+P355-BD357</f>
        <v>#N/A</v>
      </c>
      <c r="BG357" s="713"/>
      <c r="BH357" s="713"/>
      <c r="BI357" s="713"/>
      <c r="BJ357" s="803"/>
      <c r="BK357" s="803"/>
      <c r="BL357" s="803"/>
      <c r="BM357" s="803"/>
    </row>
    <row r="358" spans="1:65" ht="65.150000000000006" customHeight="1" thickBot="1">
      <c r="A358" s="724"/>
      <c r="B358" s="812"/>
      <c r="C358" s="730"/>
      <c r="D358" s="158"/>
      <c r="E358" s="158"/>
      <c r="F358" s="814"/>
      <c r="G358" s="736"/>
      <c r="H358" s="105"/>
      <c r="I358" s="161"/>
      <c r="J358" s="105"/>
      <c r="K358" s="160"/>
      <c r="L358" s="150"/>
      <c r="M358" s="727"/>
      <c r="N358" s="720"/>
      <c r="O358" s="810"/>
      <c r="P358" s="720"/>
      <c r="Q358" s="715"/>
      <c r="R358" s="713"/>
      <c r="S358" s="140"/>
      <c r="T358" s="101"/>
      <c r="U358" s="52" t="s">
        <v>467</v>
      </c>
      <c r="V358" s="145"/>
      <c r="W358" s="145"/>
      <c r="X358" s="145"/>
      <c r="Y358" s="99" t="str">
        <f t="shared" si="61"/>
        <v/>
      </c>
      <c r="Z358" s="145"/>
      <c r="AA358" s="99" t="str">
        <f t="shared" si="62"/>
        <v/>
      </c>
      <c r="AB358" s="140"/>
      <c r="AC358" s="99" t="str">
        <f t="shared" si="63"/>
        <v/>
      </c>
      <c r="AD358" s="140"/>
      <c r="AE358" s="99" t="str">
        <f t="shared" si="64"/>
        <v/>
      </c>
      <c r="AF358" s="140"/>
      <c r="AG358" s="99" t="str">
        <f t="shared" si="65"/>
        <v/>
      </c>
      <c r="AH358" s="140"/>
      <c r="AI358" s="99" t="str">
        <f t="shared" si="66"/>
        <v/>
      </c>
      <c r="AJ358" s="140"/>
      <c r="AK358" s="28" t="str">
        <f t="shared" si="67"/>
        <v/>
      </c>
      <c r="AL358" s="111" t="str">
        <f t="shared" si="68"/>
        <v/>
      </c>
      <c r="AM358" s="111" t="str">
        <f t="shared" si="69"/>
        <v/>
      </c>
      <c r="AN358" s="178"/>
      <c r="AO358" s="178"/>
      <c r="AP358" s="178"/>
      <c r="AQ358" s="178"/>
      <c r="AR358" s="178"/>
      <c r="AS358" s="178"/>
      <c r="AT358" s="178"/>
      <c r="AU358" s="179" t="str">
        <f>IFERROR(VLOOKUP(AT358,'Seguridad Información'!$I$61:$J$65,2,0),"")</f>
        <v/>
      </c>
      <c r="AV358" s="83"/>
      <c r="AW358" s="82" t="str">
        <f t="shared" si="60"/>
        <v/>
      </c>
      <c r="AX358" s="81" t="str">
        <f t="shared" si="70"/>
        <v/>
      </c>
      <c r="AY358" s="22" t="str">
        <f>IFERROR(VLOOKUP((CONCATENATE(AM358,AX358)),Listados!$U$3:$V$11,2,FALSE),"")</f>
        <v/>
      </c>
      <c r="AZ358" s="111">
        <f t="shared" si="71"/>
        <v>100</v>
      </c>
      <c r="BA358" s="717"/>
      <c r="BB358" s="761"/>
      <c r="BC358" s="142">
        <f>+IF(AND(W358="Preventivo",BB355="Fuerte"),2,IF(AND(W358="Preventivo",BB355="Moderado"),1,0))</f>
        <v>0</v>
      </c>
      <c r="BD358" s="68">
        <f>+IF(AND(W358="Detectivo/Correctivo",$BB355="Fuerte"),2,IF(AND(W358="Detectivo/Correctivo",$BB358="Moderado"),1,IF(AND(W358="Preventivo",$BB355="Fuerte"),1,0)))</f>
        <v>0</v>
      </c>
      <c r="BE358" s="142" t="e">
        <f>+N355-BC358</f>
        <v>#N/A</v>
      </c>
      <c r="BF358" s="142" t="e">
        <f>+P355-BD358</f>
        <v>#N/A</v>
      </c>
      <c r="BG358" s="713"/>
      <c r="BH358" s="713"/>
      <c r="BI358" s="713"/>
      <c r="BJ358" s="803"/>
      <c r="BK358" s="803"/>
      <c r="BL358" s="803"/>
      <c r="BM358" s="803"/>
    </row>
    <row r="359" spans="1:65" ht="65.150000000000006" customHeight="1" thickBot="1">
      <c r="A359" s="724"/>
      <c r="B359" s="812"/>
      <c r="C359" s="730"/>
      <c r="D359" s="116"/>
      <c r="E359" s="116"/>
      <c r="F359" s="814"/>
      <c r="G359" s="736"/>
      <c r="H359" s="105"/>
      <c r="I359" s="161"/>
      <c r="J359" s="105"/>
      <c r="K359" s="29"/>
      <c r="L359" s="150"/>
      <c r="M359" s="727"/>
      <c r="N359" s="720"/>
      <c r="O359" s="810"/>
      <c r="P359" s="720"/>
      <c r="Q359" s="715"/>
      <c r="R359" s="713"/>
      <c r="S359" s="140"/>
      <c r="T359" s="180"/>
      <c r="U359" s="52" t="s">
        <v>467</v>
      </c>
      <c r="V359" s="145"/>
      <c r="W359" s="145"/>
      <c r="X359" s="145"/>
      <c r="Y359" s="99" t="str">
        <f t="shared" si="61"/>
        <v/>
      </c>
      <c r="Z359" s="145"/>
      <c r="AA359" s="99" t="str">
        <f t="shared" si="62"/>
        <v/>
      </c>
      <c r="AB359" s="140"/>
      <c r="AC359" s="99" t="str">
        <f t="shared" si="63"/>
        <v/>
      </c>
      <c r="AD359" s="140"/>
      <c r="AE359" s="99" t="str">
        <f t="shared" si="64"/>
        <v/>
      </c>
      <c r="AF359" s="140"/>
      <c r="AG359" s="99" t="str">
        <f t="shared" si="65"/>
        <v/>
      </c>
      <c r="AH359" s="140"/>
      <c r="AI359" s="99" t="str">
        <f t="shared" si="66"/>
        <v/>
      </c>
      <c r="AJ359" s="140"/>
      <c r="AK359" s="28" t="str">
        <f t="shared" si="67"/>
        <v/>
      </c>
      <c r="AL359" s="111" t="str">
        <f t="shared" si="68"/>
        <v/>
      </c>
      <c r="AM359" s="111" t="str">
        <f t="shared" si="69"/>
        <v/>
      </c>
      <c r="AN359" s="178"/>
      <c r="AO359" s="178"/>
      <c r="AP359" s="178"/>
      <c r="AQ359" s="178"/>
      <c r="AR359" s="178"/>
      <c r="AS359" s="178"/>
      <c r="AT359" s="178"/>
      <c r="AU359" s="179" t="str">
        <f>IFERROR(VLOOKUP(AT359,'Seguridad Información'!$I$61:$J$65,2,0),"")</f>
        <v/>
      </c>
      <c r="AV359" s="83"/>
      <c r="AW359" s="82" t="str">
        <f t="shared" si="60"/>
        <v/>
      </c>
      <c r="AX359" s="81" t="str">
        <f t="shared" si="70"/>
        <v/>
      </c>
      <c r="AY359" s="22" t="str">
        <f>IFERROR(VLOOKUP((CONCATENATE(AM359,AX359)),Listados!$U$3:$V$11,2,FALSE),"")</f>
        <v/>
      </c>
      <c r="AZ359" s="111">
        <f t="shared" si="71"/>
        <v>100</v>
      </c>
      <c r="BA359" s="717"/>
      <c r="BB359" s="761"/>
      <c r="BC359" s="142">
        <f>+IF(AND(W359="Preventivo",BB355="Fuerte"),2,IF(AND(W359="Preventivo",BB355="Moderado"),1,0))</f>
        <v>0</v>
      </c>
      <c r="BD359" s="68">
        <f>+IF(AND(W359="Detectivo/Correctivo",$BB355="Fuerte"),2,IF(AND(W359="Detectivo/Correctivo",$BB359="Moderado"),1,IF(AND(W359="Preventivo",$BB355="Fuerte"),1,0)))</f>
        <v>0</v>
      </c>
      <c r="BE359" s="142" t="e">
        <f>+N355-BC359</f>
        <v>#N/A</v>
      </c>
      <c r="BF359" s="142" t="e">
        <f>+P355-BD359</f>
        <v>#N/A</v>
      </c>
      <c r="BG359" s="713"/>
      <c r="BH359" s="713"/>
      <c r="BI359" s="713"/>
      <c r="BJ359" s="803"/>
      <c r="BK359" s="803"/>
      <c r="BL359" s="803"/>
      <c r="BM359" s="803"/>
    </row>
    <row r="360" spans="1:65" ht="65.150000000000006" customHeight="1" thickBot="1">
      <c r="A360" s="725"/>
      <c r="B360" s="812"/>
      <c r="C360" s="731"/>
      <c r="D360" s="113"/>
      <c r="E360" s="113"/>
      <c r="F360" s="815"/>
      <c r="G360" s="781"/>
      <c r="H360" s="105"/>
      <c r="I360" s="161"/>
      <c r="J360" s="105"/>
      <c r="K360" s="30"/>
      <c r="L360" s="150"/>
      <c r="M360" s="727"/>
      <c r="N360" s="721"/>
      <c r="O360" s="810"/>
      <c r="P360" s="721"/>
      <c r="Q360" s="715"/>
      <c r="R360" s="714"/>
      <c r="S360" s="140"/>
      <c r="T360" s="102"/>
      <c r="U360" s="52" t="s">
        <v>467</v>
      </c>
      <c r="V360" s="145"/>
      <c r="W360" s="145"/>
      <c r="X360" s="145"/>
      <c r="Y360" s="99" t="str">
        <f t="shared" si="61"/>
        <v/>
      </c>
      <c r="Z360" s="145"/>
      <c r="AA360" s="99" t="str">
        <f t="shared" si="62"/>
        <v/>
      </c>
      <c r="AB360" s="140"/>
      <c r="AC360" s="99" t="str">
        <f t="shared" si="63"/>
        <v/>
      </c>
      <c r="AD360" s="140"/>
      <c r="AE360" s="99" t="str">
        <f t="shared" si="64"/>
        <v/>
      </c>
      <c r="AF360" s="140"/>
      <c r="AG360" s="99" t="str">
        <f t="shared" si="65"/>
        <v/>
      </c>
      <c r="AH360" s="140"/>
      <c r="AI360" s="99" t="str">
        <f t="shared" si="66"/>
        <v/>
      </c>
      <c r="AJ360" s="140"/>
      <c r="AK360" s="28" t="str">
        <f t="shared" si="67"/>
        <v/>
      </c>
      <c r="AL360" s="111" t="str">
        <f t="shared" si="68"/>
        <v/>
      </c>
      <c r="AM360" s="111" t="str">
        <f t="shared" si="69"/>
        <v/>
      </c>
      <c r="AN360" s="178"/>
      <c r="AO360" s="178"/>
      <c r="AP360" s="178"/>
      <c r="AQ360" s="178"/>
      <c r="AR360" s="178"/>
      <c r="AS360" s="178"/>
      <c r="AT360" s="178"/>
      <c r="AU360" s="179" t="str">
        <f>IFERROR(VLOOKUP(AT360,'Seguridad Información'!$I$61:$J$65,2,0),"")</f>
        <v/>
      </c>
      <c r="AV360" s="83"/>
      <c r="AW360" s="82" t="str">
        <f t="shared" si="60"/>
        <v/>
      </c>
      <c r="AX360" s="81" t="str">
        <f t="shared" si="70"/>
        <v/>
      </c>
      <c r="AY360" s="22" t="str">
        <f>IFERROR(VLOOKUP((CONCATENATE(AM360,AX360)),Listados!$U$3:$V$11,2,FALSE),"")</f>
        <v/>
      </c>
      <c r="AZ360" s="111">
        <f t="shared" si="71"/>
        <v>100</v>
      </c>
      <c r="BA360" s="718"/>
      <c r="BB360" s="761"/>
      <c r="BC360" s="142">
        <f>+IF(AND(W360="Preventivo",BB355="Fuerte"),2,IF(AND(W360="Preventivo",BB355="Moderado"),1,0))</f>
        <v>0</v>
      </c>
      <c r="BD360" s="68">
        <f>+IF(AND(W360="Detectivo/Correctivo",$BB355="Fuerte"),2,IF(AND(W360="Detectivo/Correctivo",$BB360="Moderado"),1,IF(AND(W360="Preventivo",$BB355="Fuerte"),1,0)))</f>
        <v>0</v>
      </c>
      <c r="BE360" s="142" t="e">
        <f>+N355-BC360</f>
        <v>#N/A</v>
      </c>
      <c r="BF360" s="142" t="e">
        <f>+P355-BD360</f>
        <v>#N/A</v>
      </c>
      <c r="BG360" s="714"/>
      <c r="BH360" s="714"/>
      <c r="BI360" s="714"/>
      <c r="BJ360" s="804"/>
      <c r="BK360" s="804"/>
      <c r="BL360" s="804"/>
      <c r="BM360" s="804"/>
    </row>
    <row r="361" spans="1:65" ht="65.150000000000006" customHeight="1" thickBot="1">
      <c r="A361" s="723">
        <v>60</v>
      </c>
      <c r="B361" s="808"/>
      <c r="C361" s="729" t="str">
        <f>IFERROR(VLOOKUP(B361,Listados!B$3:C$20,2,FALSE),"")</f>
        <v/>
      </c>
      <c r="D361" s="114"/>
      <c r="E361" s="114"/>
      <c r="F361" s="813"/>
      <c r="G361" s="735"/>
      <c r="H361" s="105"/>
      <c r="I361" s="161"/>
      <c r="J361" s="105"/>
      <c r="K361" s="109"/>
      <c r="L361" s="18"/>
      <c r="M361" s="762"/>
      <c r="N361" s="719" t="e">
        <f>+VLOOKUP(M361,Listados!$K$8:$L$12,2,0)</f>
        <v>#N/A</v>
      </c>
      <c r="O361" s="809"/>
      <c r="P361" s="719" t="e">
        <f>+VLOOKUP(O361,Listados!$K$13:$L$17,2,0)</f>
        <v>#N/A</v>
      </c>
      <c r="Q361" s="714" t="str">
        <f>IF(AND(M361&lt;&gt;"",O361&lt;&gt;""),VLOOKUP(M361&amp;O361,Listados!$M$3:$N$27,2,FALSE),"")</f>
        <v/>
      </c>
      <c r="R361" s="712" t="e">
        <f>+VLOOKUP(Q361,Listados!$P$3:$Q$6,2,FALSE)</f>
        <v>#N/A</v>
      </c>
      <c r="S361" s="140"/>
      <c r="T361" s="98"/>
      <c r="U361" s="52" t="s">
        <v>467</v>
      </c>
      <c r="V361" s="145"/>
      <c r="W361" s="145"/>
      <c r="X361" s="145"/>
      <c r="Y361" s="99" t="str">
        <f t="shared" si="61"/>
        <v/>
      </c>
      <c r="Z361" s="145"/>
      <c r="AA361" s="99" t="str">
        <f t="shared" si="62"/>
        <v/>
      </c>
      <c r="AB361" s="140"/>
      <c r="AC361" s="99" t="str">
        <f t="shared" si="63"/>
        <v/>
      </c>
      <c r="AD361" s="140"/>
      <c r="AE361" s="99" t="str">
        <f t="shared" si="64"/>
        <v/>
      </c>
      <c r="AF361" s="140"/>
      <c r="AG361" s="99" t="str">
        <f t="shared" si="65"/>
        <v/>
      </c>
      <c r="AH361" s="140"/>
      <c r="AI361" s="99" t="str">
        <f t="shared" si="66"/>
        <v/>
      </c>
      <c r="AJ361" s="140"/>
      <c r="AK361" s="28" t="str">
        <f t="shared" si="67"/>
        <v/>
      </c>
      <c r="AL361" s="111" t="str">
        <f t="shared" si="68"/>
        <v/>
      </c>
      <c r="AM361" s="111" t="str">
        <f t="shared" si="69"/>
        <v/>
      </c>
      <c r="AN361" s="178"/>
      <c r="AO361" s="178"/>
      <c r="AP361" s="178"/>
      <c r="AQ361" s="178"/>
      <c r="AR361" s="178"/>
      <c r="AS361" s="178"/>
      <c r="AT361" s="178"/>
      <c r="AU361" s="179" t="str">
        <f>IFERROR(VLOOKUP(AT361,'Seguridad Información'!$I$61:$J$65,2,0),"")</f>
        <v/>
      </c>
      <c r="AV361" s="83"/>
      <c r="AW361" s="82" t="str">
        <f t="shared" si="60"/>
        <v/>
      </c>
      <c r="AX361" s="81" t="str">
        <f t="shared" si="70"/>
        <v/>
      </c>
      <c r="AY361" s="22" t="str">
        <f>IFERROR(VLOOKUP((CONCATENATE(AM361,AX361)),Listados!$U$3:$V$11,2,FALSE),"")</f>
        <v/>
      </c>
      <c r="AZ361" s="111">
        <f t="shared" si="71"/>
        <v>100</v>
      </c>
      <c r="BA361" s="716">
        <f>AVERAGE(AZ361:AZ366)</f>
        <v>100</v>
      </c>
      <c r="BB361" s="718" t="str">
        <f>IF(BA361&lt;=50, "Débil", IF(BA361&lt;=99,"Moderado","Fuerte"))</f>
        <v>Fuerte</v>
      </c>
      <c r="BC361" s="142">
        <f>+IF(AND(W361="Preventivo",BB361="Fuerte"),2,IF(AND(W361="Preventivo",BB361="Moderado"),1,0))</f>
        <v>0</v>
      </c>
      <c r="BD361" s="68">
        <f>+IF(AND(W361="Detectivo/Correctivo",$BB361="Fuerte"),2,IF(AND(W361="Detectivo/Correctivo",$BB361="Moderado"),1,IF(AND(W361="Preventivo",$BB361="Fuerte"),1,0)))</f>
        <v>0</v>
      </c>
      <c r="BE361" s="142" t="e">
        <f>+N361-BC361</f>
        <v>#N/A</v>
      </c>
      <c r="BF361" s="142" t="e">
        <f>+P361-BD361</f>
        <v>#N/A</v>
      </c>
      <c r="BG361" s="712" t="e">
        <f>+VLOOKUP(MIN(BE361,BE362,BE363,BE364,BE365,BE366),Listados!$J$18:$K$24,2,TRUE)</f>
        <v>#N/A</v>
      </c>
      <c r="BH361" s="712" t="e">
        <f>+VLOOKUP(MIN(BF361,BF362,BF363,BF364,BF365,BF366),Listados!$J$27:$K$32,2,TRUE)</f>
        <v>#N/A</v>
      </c>
      <c r="BI361" s="712" t="e">
        <f>IF(AND(BG361&lt;&gt;"",BH361&lt;&gt;""),VLOOKUP(BG361&amp;BH361,Listados!$M$3:$N$27,2,FALSE),"")</f>
        <v>#N/A</v>
      </c>
      <c r="BJ361" s="802" t="e">
        <f>+IF($R361="Asumir el riesgo","NA","")</f>
        <v>#N/A</v>
      </c>
      <c r="BK361" s="802" t="e">
        <f>+IF($R361="Asumir el riesgo","NA","")</f>
        <v>#N/A</v>
      </c>
      <c r="BL361" s="802" t="e">
        <f>+IF($R361="Asumir el riesgo","NA","")</f>
        <v>#N/A</v>
      </c>
      <c r="BM361" s="802" t="e">
        <f>+IF($R361="Asumir el riesgo","NA","")</f>
        <v>#N/A</v>
      </c>
    </row>
    <row r="362" spans="1:65" ht="65.150000000000006" customHeight="1" thickBot="1">
      <c r="A362" s="724"/>
      <c r="B362" s="808"/>
      <c r="C362" s="730"/>
      <c r="D362" s="158"/>
      <c r="E362" s="158"/>
      <c r="F362" s="814"/>
      <c r="G362" s="736"/>
      <c r="H362" s="105"/>
      <c r="I362" s="161"/>
      <c r="J362" s="105"/>
      <c r="K362" s="160"/>
      <c r="L362" s="150"/>
      <c r="M362" s="727"/>
      <c r="N362" s="720"/>
      <c r="O362" s="810"/>
      <c r="P362" s="720"/>
      <c r="Q362" s="715"/>
      <c r="R362" s="713"/>
      <c r="S362" s="140"/>
      <c r="T362" s="180"/>
      <c r="U362" s="52" t="s">
        <v>467</v>
      </c>
      <c r="V362" s="145"/>
      <c r="W362" s="145"/>
      <c r="X362" s="145"/>
      <c r="Y362" s="99" t="str">
        <f t="shared" si="61"/>
        <v/>
      </c>
      <c r="Z362" s="145"/>
      <c r="AA362" s="99" t="str">
        <f t="shared" si="62"/>
        <v/>
      </c>
      <c r="AB362" s="140"/>
      <c r="AC362" s="99" t="str">
        <f t="shared" si="63"/>
        <v/>
      </c>
      <c r="AD362" s="140"/>
      <c r="AE362" s="99" t="str">
        <f t="shared" si="64"/>
        <v/>
      </c>
      <c r="AF362" s="140"/>
      <c r="AG362" s="99" t="str">
        <f t="shared" si="65"/>
        <v/>
      </c>
      <c r="AH362" s="140"/>
      <c r="AI362" s="99" t="str">
        <f t="shared" si="66"/>
        <v/>
      </c>
      <c r="AJ362" s="140"/>
      <c r="AK362" s="28" t="str">
        <f t="shared" si="67"/>
        <v/>
      </c>
      <c r="AL362" s="111" t="str">
        <f t="shared" si="68"/>
        <v/>
      </c>
      <c r="AM362" s="111" t="str">
        <f t="shared" si="69"/>
        <v/>
      </c>
      <c r="AN362" s="178"/>
      <c r="AO362" s="178"/>
      <c r="AP362" s="178"/>
      <c r="AQ362" s="178"/>
      <c r="AR362" s="178"/>
      <c r="AS362" s="178"/>
      <c r="AT362" s="178"/>
      <c r="AU362" s="179" t="str">
        <f>IFERROR(VLOOKUP(AT362,'Seguridad Información'!$I$61:$J$65,2,0),"")</f>
        <v/>
      </c>
      <c r="AV362" s="83"/>
      <c r="AW362" s="82" t="str">
        <f t="shared" si="60"/>
        <v/>
      </c>
      <c r="AX362" s="81" t="str">
        <f t="shared" si="70"/>
        <v/>
      </c>
      <c r="AY362" s="22" t="str">
        <f>IFERROR(VLOOKUP((CONCATENATE(AM362,AX362)),Listados!$U$3:$V$11,2,FALSE),"")</f>
        <v/>
      </c>
      <c r="AZ362" s="111">
        <f t="shared" si="71"/>
        <v>100</v>
      </c>
      <c r="BA362" s="717"/>
      <c r="BB362" s="761"/>
      <c r="BC362" s="142">
        <f>+IF(AND(W362="Preventivo",BB361="Fuerte"),2,IF(AND(W362="Preventivo",BB361="Moderado"),1,0))</f>
        <v>0</v>
      </c>
      <c r="BD362" s="68">
        <f>+IF(AND(W362="Detectivo/Correctivo",$BB361="Fuerte"),2,IF(AND(W362="Detectivo/Correctivo",$BB362="Moderado"),1,IF(AND(W362="Preventivo",$BB361="Fuerte"),1,0)))</f>
        <v>0</v>
      </c>
      <c r="BE362" s="142" t="e">
        <f>+N361-BC362</f>
        <v>#N/A</v>
      </c>
      <c r="BF362" s="142" t="e">
        <f>+P361-BD362</f>
        <v>#N/A</v>
      </c>
      <c r="BG362" s="713"/>
      <c r="BH362" s="713"/>
      <c r="BI362" s="713"/>
      <c r="BJ362" s="803"/>
      <c r="BK362" s="803"/>
      <c r="BL362" s="803"/>
      <c r="BM362" s="803"/>
    </row>
    <row r="363" spans="1:65" ht="65.150000000000006" customHeight="1" thickBot="1">
      <c r="A363" s="724"/>
      <c r="B363" s="808"/>
      <c r="C363" s="730"/>
      <c r="D363" s="158"/>
      <c r="E363" s="158"/>
      <c r="F363" s="814"/>
      <c r="G363" s="736"/>
      <c r="H363" s="105"/>
      <c r="I363" s="161"/>
      <c r="J363" s="105"/>
      <c r="K363" s="160"/>
      <c r="L363" s="150"/>
      <c r="M363" s="727"/>
      <c r="N363" s="720"/>
      <c r="O363" s="810"/>
      <c r="P363" s="720"/>
      <c r="Q363" s="715"/>
      <c r="R363" s="713"/>
      <c r="S363" s="140"/>
      <c r="T363" s="100"/>
      <c r="U363" s="52" t="s">
        <v>467</v>
      </c>
      <c r="V363" s="145"/>
      <c r="W363" s="145"/>
      <c r="X363" s="145"/>
      <c r="Y363" s="99" t="str">
        <f t="shared" si="61"/>
        <v/>
      </c>
      <c r="Z363" s="145"/>
      <c r="AA363" s="99" t="str">
        <f t="shared" si="62"/>
        <v/>
      </c>
      <c r="AB363" s="140"/>
      <c r="AC363" s="99" t="str">
        <f t="shared" si="63"/>
        <v/>
      </c>
      <c r="AD363" s="140"/>
      <c r="AE363" s="99" t="str">
        <f t="shared" si="64"/>
        <v/>
      </c>
      <c r="AF363" s="140"/>
      <c r="AG363" s="99" t="str">
        <f t="shared" si="65"/>
        <v/>
      </c>
      <c r="AH363" s="140"/>
      <c r="AI363" s="99" t="str">
        <f t="shared" si="66"/>
        <v/>
      </c>
      <c r="AJ363" s="140"/>
      <c r="AK363" s="28" t="str">
        <f t="shared" si="67"/>
        <v/>
      </c>
      <c r="AL363" s="111" t="str">
        <f t="shared" si="68"/>
        <v/>
      </c>
      <c r="AM363" s="111" t="str">
        <f t="shared" si="69"/>
        <v/>
      </c>
      <c r="AN363" s="178"/>
      <c r="AO363" s="178"/>
      <c r="AP363" s="178"/>
      <c r="AQ363" s="178"/>
      <c r="AR363" s="178"/>
      <c r="AS363" s="178"/>
      <c r="AT363" s="178"/>
      <c r="AU363" s="179" t="str">
        <f>IFERROR(VLOOKUP(AT363,'Seguridad Información'!$I$61:$J$65,2,0),"")</f>
        <v/>
      </c>
      <c r="AV363" s="83"/>
      <c r="AW363" s="82" t="str">
        <f t="shared" si="60"/>
        <v/>
      </c>
      <c r="AX363" s="81" t="str">
        <f t="shared" si="70"/>
        <v/>
      </c>
      <c r="AY363" s="22" t="str">
        <f>IFERROR(VLOOKUP((CONCATENATE(AM363,AX363)),Listados!$U$3:$V$11,2,FALSE),"")</f>
        <v/>
      </c>
      <c r="AZ363" s="111">
        <f t="shared" si="71"/>
        <v>100</v>
      </c>
      <c r="BA363" s="717"/>
      <c r="BB363" s="761"/>
      <c r="BC363" s="142">
        <f>+IF(AND(W363="Preventivo",BB361="Fuerte"),2,IF(AND(W363="Preventivo",BB361="Moderado"),1,0))</f>
        <v>0</v>
      </c>
      <c r="BD363" s="68">
        <f>+IF(AND(W363="Detectivo/Correctivo",$BB361="Fuerte"),2,IF(AND(W363="Detectivo/Correctivo",$BB363="Moderado"),1,IF(AND(W363="Preventivo",$BB361="Fuerte"),1,0)))</f>
        <v>0</v>
      </c>
      <c r="BE363" s="142" t="e">
        <f>+N361-BC363</f>
        <v>#N/A</v>
      </c>
      <c r="BF363" s="142" t="e">
        <f>+P361-BD363</f>
        <v>#N/A</v>
      </c>
      <c r="BG363" s="713"/>
      <c r="BH363" s="713"/>
      <c r="BI363" s="713"/>
      <c r="BJ363" s="803"/>
      <c r="BK363" s="803"/>
      <c r="BL363" s="803"/>
      <c r="BM363" s="803"/>
    </row>
    <row r="364" spans="1:65" ht="65.150000000000006" customHeight="1" thickBot="1">
      <c r="A364" s="724"/>
      <c r="B364" s="808"/>
      <c r="C364" s="730"/>
      <c r="D364" s="158"/>
      <c r="E364" s="158"/>
      <c r="F364" s="814"/>
      <c r="G364" s="736"/>
      <c r="H364" s="105"/>
      <c r="I364" s="161"/>
      <c r="J364" s="105"/>
      <c r="K364" s="160"/>
      <c r="L364" s="150"/>
      <c r="M364" s="727"/>
      <c r="N364" s="720"/>
      <c r="O364" s="810"/>
      <c r="P364" s="720"/>
      <c r="Q364" s="715"/>
      <c r="R364" s="713"/>
      <c r="S364" s="140"/>
      <c r="T364" s="101"/>
      <c r="U364" s="52" t="s">
        <v>467</v>
      </c>
      <c r="V364" s="145"/>
      <c r="W364" s="145"/>
      <c r="X364" s="145"/>
      <c r="Y364" s="99" t="str">
        <f t="shared" si="61"/>
        <v/>
      </c>
      <c r="Z364" s="145"/>
      <c r="AA364" s="99" t="str">
        <f t="shared" si="62"/>
        <v/>
      </c>
      <c r="AB364" s="140"/>
      <c r="AC364" s="99" t="str">
        <f t="shared" si="63"/>
        <v/>
      </c>
      <c r="AD364" s="140"/>
      <c r="AE364" s="99" t="str">
        <f t="shared" si="64"/>
        <v/>
      </c>
      <c r="AF364" s="140"/>
      <c r="AG364" s="99" t="str">
        <f t="shared" si="65"/>
        <v/>
      </c>
      <c r="AH364" s="140"/>
      <c r="AI364" s="99" t="str">
        <f t="shared" si="66"/>
        <v/>
      </c>
      <c r="AJ364" s="140"/>
      <c r="AK364" s="28" t="str">
        <f t="shared" si="67"/>
        <v/>
      </c>
      <c r="AL364" s="111" t="str">
        <f t="shared" si="68"/>
        <v/>
      </c>
      <c r="AM364" s="111" t="str">
        <f t="shared" si="69"/>
        <v/>
      </c>
      <c r="AN364" s="178"/>
      <c r="AO364" s="178"/>
      <c r="AP364" s="178"/>
      <c r="AQ364" s="178"/>
      <c r="AR364" s="178"/>
      <c r="AS364" s="178"/>
      <c r="AT364" s="178"/>
      <c r="AU364" s="179" t="str">
        <f>IFERROR(VLOOKUP(AT364,'Seguridad Información'!$I$61:$J$65,2,0),"")</f>
        <v/>
      </c>
      <c r="AV364" s="83"/>
      <c r="AW364" s="82" t="str">
        <f t="shared" si="60"/>
        <v/>
      </c>
      <c r="AX364" s="81" t="str">
        <f t="shared" si="70"/>
        <v/>
      </c>
      <c r="AY364" s="22" t="str">
        <f>IFERROR(VLOOKUP((CONCATENATE(AM364,AX364)),Listados!$U$3:$V$11,2,FALSE),"")</f>
        <v/>
      </c>
      <c r="AZ364" s="111">
        <f t="shared" si="71"/>
        <v>100</v>
      </c>
      <c r="BA364" s="717"/>
      <c r="BB364" s="761"/>
      <c r="BC364" s="142">
        <f>+IF(AND(W364="Preventivo",BB361="Fuerte"),2,IF(AND(W364="Preventivo",BB361="Moderado"),1,0))</f>
        <v>0</v>
      </c>
      <c r="BD364" s="68">
        <f>+IF(AND(W364="Detectivo/Correctivo",$BB361="Fuerte"),2,IF(AND(W364="Detectivo/Correctivo",$BB364="Moderado"),1,IF(AND(W364="Preventivo",$BB361="Fuerte"),1,0)))</f>
        <v>0</v>
      </c>
      <c r="BE364" s="142" t="e">
        <f>+N361-BC364</f>
        <v>#N/A</v>
      </c>
      <c r="BF364" s="142" t="e">
        <f>+P361-BD364</f>
        <v>#N/A</v>
      </c>
      <c r="BG364" s="713"/>
      <c r="BH364" s="713"/>
      <c r="BI364" s="713"/>
      <c r="BJ364" s="803"/>
      <c r="BK364" s="803"/>
      <c r="BL364" s="803"/>
      <c r="BM364" s="803"/>
    </row>
    <row r="365" spans="1:65" ht="65.150000000000006" customHeight="1" thickBot="1">
      <c r="A365" s="724"/>
      <c r="B365" s="808"/>
      <c r="C365" s="730"/>
      <c r="D365" s="116"/>
      <c r="E365" s="116"/>
      <c r="F365" s="814"/>
      <c r="G365" s="736"/>
      <c r="H365" s="105"/>
      <c r="I365" s="161"/>
      <c r="J365" s="105"/>
      <c r="K365" s="29"/>
      <c r="L365" s="150"/>
      <c r="M365" s="727"/>
      <c r="N365" s="720"/>
      <c r="O365" s="810"/>
      <c r="P365" s="720"/>
      <c r="Q365" s="715"/>
      <c r="R365" s="713"/>
      <c r="S365" s="140"/>
      <c r="T365" s="180"/>
      <c r="U365" s="52" t="s">
        <v>467</v>
      </c>
      <c r="V365" s="145"/>
      <c r="W365" s="145"/>
      <c r="X365" s="145"/>
      <c r="Y365" s="99" t="str">
        <f t="shared" si="61"/>
        <v/>
      </c>
      <c r="Z365" s="145"/>
      <c r="AA365" s="99" t="str">
        <f t="shared" si="62"/>
        <v/>
      </c>
      <c r="AB365" s="140"/>
      <c r="AC365" s="99" t="str">
        <f t="shared" si="63"/>
        <v/>
      </c>
      <c r="AD365" s="140"/>
      <c r="AE365" s="99" t="str">
        <f t="shared" si="64"/>
        <v/>
      </c>
      <c r="AF365" s="140"/>
      <c r="AG365" s="99" t="str">
        <f t="shared" si="65"/>
        <v/>
      </c>
      <c r="AH365" s="140"/>
      <c r="AI365" s="99" t="str">
        <f t="shared" si="66"/>
        <v/>
      </c>
      <c r="AJ365" s="140"/>
      <c r="AK365" s="28" t="str">
        <f t="shared" si="67"/>
        <v/>
      </c>
      <c r="AL365" s="111" t="str">
        <f t="shared" si="68"/>
        <v/>
      </c>
      <c r="AM365" s="111" t="str">
        <f t="shared" si="69"/>
        <v/>
      </c>
      <c r="AN365" s="178"/>
      <c r="AO365" s="178"/>
      <c r="AP365" s="178"/>
      <c r="AQ365" s="178"/>
      <c r="AR365" s="178"/>
      <c r="AS365" s="178"/>
      <c r="AT365" s="178"/>
      <c r="AU365" s="179" t="str">
        <f>IFERROR(VLOOKUP(AT365,'Seguridad Información'!$I$61:$J$65,2,0),"")</f>
        <v/>
      </c>
      <c r="AV365" s="83"/>
      <c r="AW365" s="82" t="str">
        <f t="shared" si="60"/>
        <v/>
      </c>
      <c r="AX365" s="81" t="str">
        <f t="shared" si="70"/>
        <v/>
      </c>
      <c r="AY365" s="22" t="str">
        <f>IFERROR(VLOOKUP((CONCATENATE(AM365,AX365)),Listados!$U$3:$V$11,2,FALSE),"")</f>
        <v/>
      </c>
      <c r="AZ365" s="111">
        <f t="shared" si="71"/>
        <v>100</v>
      </c>
      <c r="BA365" s="717"/>
      <c r="BB365" s="761"/>
      <c r="BC365" s="142">
        <f>+IF(AND(W365="Preventivo",BB361="Fuerte"),2,IF(AND(W365="Preventivo",BB361="Moderado"),1,0))</f>
        <v>0</v>
      </c>
      <c r="BD365" s="68">
        <f>+IF(AND(W365="Detectivo/Correctivo",$BB361="Fuerte"),2,IF(AND(W365="Detectivo/Correctivo",$BB365="Moderado"),1,IF(AND(W365="Preventivo",$BB361="Fuerte"),1,0)))</f>
        <v>0</v>
      </c>
      <c r="BE365" s="142" t="e">
        <f>+N361-BC365</f>
        <v>#N/A</v>
      </c>
      <c r="BF365" s="142" t="e">
        <f>+P361-BD365</f>
        <v>#N/A</v>
      </c>
      <c r="BG365" s="713"/>
      <c r="BH365" s="713"/>
      <c r="BI365" s="713"/>
      <c r="BJ365" s="803"/>
      <c r="BK365" s="803"/>
      <c r="BL365" s="803"/>
      <c r="BM365" s="803"/>
    </row>
    <row r="366" spans="1:65" ht="65.150000000000006" customHeight="1" thickBot="1">
      <c r="A366" s="725"/>
      <c r="B366" s="808"/>
      <c r="C366" s="731"/>
      <c r="D366" s="113"/>
      <c r="E366" s="113"/>
      <c r="F366" s="815"/>
      <c r="G366" s="781"/>
      <c r="H366" s="105"/>
      <c r="I366" s="57"/>
      <c r="J366" s="105"/>
      <c r="K366" s="30"/>
      <c r="L366" s="150"/>
      <c r="M366" s="727"/>
      <c r="N366" s="721"/>
      <c r="O366" s="810"/>
      <c r="P366" s="721"/>
      <c r="Q366" s="715"/>
      <c r="R366" s="714"/>
      <c r="S366" s="140"/>
      <c r="T366" s="102"/>
      <c r="U366" s="52" t="s">
        <v>467</v>
      </c>
      <c r="V366" s="145"/>
      <c r="W366" s="145"/>
      <c r="X366" s="145"/>
      <c r="Y366" s="99" t="str">
        <f t="shared" si="61"/>
        <v/>
      </c>
      <c r="Z366" s="145"/>
      <c r="AA366" s="99" t="str">
        <f t="shared" si="62"/>
        <v/>
      </c>
      <c r="AB366" s="140"/>
      <c r="AC366" s="99" t="str">
        <f t="shared" si="63"/>
        <v/>
      </c>
      <c r="AD366" s="140"/>
      <c r="AE366" s="99" t="str">
        <f t="shared" si="64"/>
        <v/>
      </c>
      <c r="AF366" s="140"/>
      <c r="AG366" s="99" t="str">
        <f t="shared" si="65"/>
        <v/>
      </c>
      <c r="AH366" s="140"/>
      <c r="AI366" s="99" t="str">
        <f t="shared" si="66"/>
        <v/>
      </c>
      <c r="AJ366" s="140"/>
      <c r="AK366" s="28" t="str">
        <f t="shared" si="67"/>
        <v/>
      </c>
      <c r="AL366" s="111" t="str">
        <f t="shared" si="68"/>
        <v/>
      </c>
      <c r="AM366" s="111" t="str">
        <f t="shared" si="69"/>
        <v/>
      </c>
      <c r="AN366" s="178"/>
      <c r="AO366" s="178"/>
      <c r="AP366" s="178"/>
      <c r="AQ366" s="178"/>
      <c r="AR366" s="178"/>
      <c r="AS366" s="178"/>
      <c r="AT366" s="178"/>
      <c r="AU366" s="179" t="str">
        <f>IFERROR(VLOOKUP(AT366,'Seguridad Información'!$I$61:$J$65,2,0),"")</f>
        <v/>
      </c>
      <c r="AV366" s="83"/>
      <c r="AW366" s="82" t="str">
        <f t="shared" si="60"/>
        <v/>
      </c>
      <c r="AX366" s="81" t="str">
        <f t="shared" si="70"/>
        <v/>
      </c>
      <c r="AY366" s="22" t="str">
        <f>IFERROR(VLOOKUP((CONCATENATE(AM366,AX366)),Listados!$U$3:$V$11,2,FALSE),"")</f>
        <v/>
      </c>
      <c r="AZ366" s="111">
        <f t="shared" si="71"/>
        <v>100</v>
      </c>
      <c r="BA366" s="718"/>
      <c r="BB366" s="761"/>
      <c r="BC366" s="142">
        <f>+IF(AND(W366="Preventivo",BB361="Fuerte"),2,IF(AND(W366="Preventivo",BB361="Moderado"),1,0))</f>
        <v>0</v>
      </c>
      <c r="BD366" s="68">
        <f>+IF(AND(W366="Detectivo/Correctivo",$BB361="Fuerte"),2,IF(AND(W366="Detectivo/Correctivo",$BB366="Moderado"),1,IF(AND(W366="Preventivo",$BB361="Fuerte"),1,0)))</f>
        <v>0</v>
      </c>
      <c r="BE366" s="142" t="e">
        <f>+N361-BC366</f>
        <v>#N/A</v>
      </c>
      <c r="BF366" s="142" t="e">
        <f>+P361-BD366</f>
        <v>#N/A</v>
      </c>
      <c r="BG366" s="714"/>
      <c r="BH366" s="714"/>
      <c r="BI366" s="714"/>
      <c r="BJ366" s="804"/>
      <c r="BK366" s="804"/>
      <c r="BL366" s="804"/>
      <c r="BM366" s="804"/>
    </row>
  </sheetData>
  <sheetProtection algorithmName="SHA-512" hashValue="kcTjlN6yynYeBx7AfGboYhB2a5eouk2jrrUXwJdD/fu5j+Jn7EI77V/FkKHJjfK3KPQSQ+aApyosbFJIxx/DJw==" saltValue="ptBm3drJ33/6Z2i7GYcIqQ==" spinCount="100000" sheet="1" selectLockedCells="1"/>
  <mergeCells count="1216">
    <mergeCell ref="BI25:BI30"/>
    <mergeCell ref="BJ4:BM5"/>
    <mergeCell ref="F121:F126"/>
    <mergeCell ref="F169:F174"/>
    <mergeCell ref="F175:F180"/>
    <mergeCell ref="F181:F186"/>
    <mergeCell ref="F187:F192"/>
    <mergeCell ref="F193:F198"/>
    <mergeCell ref="F199:F204"/>
    <mergeCell ref="F205:F210"/>
    <mergeCell ref="F211:F216"/>
    <mergeCell ref="F217:F222"/>
    <mergeCell ref="F223:F228"/>
    <mergeCell ref="F229:F234"/>
    <mergeCell ref="F235:F240"/>
    <mergeCell ref="F241:F246"/>
    <mergeCell ref="F247:F252"/>
    <mergeCell ref="F7:F12"/>
    <mergeCell ref="F19:F24"/>
    <mergeCell ref="F25:F30"/>
    <mergeCell ref="F79:F84"/>
    <mergeCell ref="F85:F90"/>
    <mergeCell ref="F91:F96"/>
    <mergeCell ref="F97:F102"/>
    <mergeCell ref="F103:F108"/>
    <mergeCell ref="F109:F114"/>
    <mergeCell ref="N13:N18"/>
    <mergeCell ref="N7:N12"/>
    <mergeCell ref="O7:O12"/>
    <mergeCell ref="N25:N30"/>
    <mergeCell ref="O25:O30"/>
    <mergeCell ref="O91:O96"/>
    <mergeCell ref="Q19:Q24"/>
    <mergeCell ref="BA19:BA24"/>
    <mergeCell ref="BB19:BB24"/>
    <mergeCell ref="BG19:BG24"/>
    <mergeCell ref="BH19:BH24"/>
    <mergeCell ref="A13:A18"/>
    <mergeCell ref="B13:B18"/>
    <mergeCell ref="C13:C18"/>
    <mergeCell ref="G13:G18"/>
    <mergeCell ref="M13:M18"/>
    <mergeCell ref="Q25:Q30"/>
    <mergeCell ref="BA25:BA30"/>
    <mergeCell ref="BB25:BB30"/>
    <mergeCell ref="O13:O18"/>
    <mergeCell ref="P13:P18"/>
    <mergeCell ref="Q13:Q18"/>
    <mergeCell ref="BA13:BA18"/>
    <mergeCell ref="BB13:BB18"/>
    <mergeCell ref="BG13:BG18"/>
    <mergeCell ref="O85:O90"/>
    <mergeCell ref="O97:O102"/>
    <mergeCell ref="F265:F270"/>
    <mergeCell ref="F271:F276"/>
    <mergeCell ref="F313:F318"/>
    <mergeCell ref="F259:F264"/>
    <mergeCell ref="P7:P12"/>
    <mergeCell ref="A7:A12"/>
    <mergeCell ref="B7:B12"/>
    <mergeCell ref="C7:C12"/>
    <mergeCell ref="M7:M12"/>
    <mergeCell ref="F13:F18"/>
    <mergeCell ref="BG7:BG12"/>
    <mergeCell ref="G25:G30"/>
    <mergeCell ref="M25:M30"/>
    <mergeCell ref="P43:P48"/>
    <mergeCell ref="BH37:BH42"/>
    <mergeCell ref="M37:M42"/>
    <mergeCell ref="N37:N42"/>
    <mergeCell ref="BG25:BG30"/>
    <mergeCell ref="BG31:BG36"/>
    <mergeCell ref="BH31:BH36"/>
    <mergeCell ref="BH25:BH30"/>
    <mergeCell ref="A25:A30"/>
    <mergeCell ref="B25:B30"/>
    <mergeCell ref="C25:C30"/>
    <mergeCell ref="B55:B60"/>
    <mergeCell ref="C55:C60"/>
    <mergeCell ref="G55:G60"/>
    <mergeCell ref="M55:M60"/>
    <mergeCell ref="N55:N60"/>
    <mergeCell ref="O55:O60"/>
    <mergeCell ref="A1:G3"/>
    <mergeCell ref="H1:BI2"/>
    <mergeCell ref="H3:K3"/>
    <mergeCell ref="M3:BI3"/>
    <mergeCell ref="A4:L5"/>
    <mergeCell ref="M4:Q4"/>
    <mergeCell ref="U4:BI4"/>
    <mergeCell ref="M5:Q5"/>
    <mergeCell ref="U5:W5"/>
    <mergeCell ref="X5:AM5"/>
    <mergeCell ref="AN5:AW5"/>
    <mergeCell ref="AY5:AZ5"/>
    <mergeCell ref="BA5:BB5"/>
    <mergeCell ref="BG5:BI5"/>
    <mergeCell ref="G7:G12"/>
    <mergeCell ref="P25:P30"/>
    <mergeCell ref="P19:P24"/>
    <mergeCell ref="BH13:BH18"/>
    <mergeCell ref="BI13:BI18"/>
    <mergeCell ref="A19:A24"/>
    <mergeCell ref="B19:B24"/>
    <mergeCell ref="C19:C24"/>
    <mergeCell ref="G19:G24"/>
    <mergeCell ref="M19:M24"/>
    <mergeCell ref="N19:N24"/>
    <mergeCell ref="O19:O24"/>
    <mergeCell ref="BH7:BH12"/>
    <mergeCell ref="BI7:BI12"/>
    <mergeCell ref="Q7:Q12"/>
    <mergeCell ref="BA7:BA12"/>
    <mergeCell ref="BB7:BB12"/>
    <mergeCell ref="BI19:BI24"/>
    <mergeCell ref="A31:A36"/>
    <mergeCell ref="B31:B36"/>
    <mergeCell ref="C31:C36"/>
    <mergeCell ref="G31:G36"/>
    <mergeCell ref="M31:M36"/>
    <mergeCell ref="N31:N36"/>
    <mergeCell ref="O31:O36"/>
    <mergeCell ref="P31:P36"/>
    <mergeCell ref="Q31:Q36"/>
    <mergeCell ref="F31:F36"/>
    <mergeCell ref="F37:F42"/>
    <mergeCell ref="F43:F48"/>
    <mergeCell ref="BI43:BI48"/>
    <mergeCell ref="BA31:BA36"/>
    <mergeCell ref="BB31:BB36"/>
    <mergeCell ref="BI37:BI42"/>
    <mergeCell ref="A43:A48"/>
    <mergeCell ref="A37:A42"/>
    <mergeCell ref="B37:B42"/>
    <mergeCell ref="C37:C42"/>
    <mergeCell ref="G37:G42"/>
    <mergeCell ref="B43:B48"/>
    <mergeCell ref="C43:C48"/>
    <mergeCell ref="G43:G48"/>
    <mergeCell ref="M43:M48"/>
    <mergeCell ref="N43:N48"/>
    <mergeCell ref="O43:O48"/>
    <mergeCell ref="O37:O42"/>
    <mergeCell ref="P37:P42"/>
    <mergeCell ref="Q37:Q42"/>
    <mergeCell ref="BA37:BA42"/>
    <mergeCell ref="BB37:BB42"/>
    <mergeCell ref="BG37:BG42"/>
    <mergeCell ref="BI31:BI36"/>
    <mergeCell ref="Q43:Q48"/>
    <mergeCell ref="BA43:BA48"/>
    <mergeCell ref="BB43:BB48"/>
    <mergeCell ref="BG43:BG48"/>
    <mergeCell ref="BH43:BH48"/>
    <mergeCell ref="A49:A54"/>
    <mergeCell ref="B49:B54"/>
    <mergeCell ref="O49:O54"/>
    <mergeCell ref="P49:P54"/>
    <mergeCell ref="C49:C54"/>
    <mergeCell ref="G49:G54"/>
    <mergeCell ref="M49:M54"/>
    <mergeCell ref="N49:N54"/>
    <mergeCell ref="BA55:BA60"/>
    <mergeCell ref="BB55:BB60"/>
    <mergeCell ref="BG55:BG60"/>
    <mergeCell ref="BH55:BH60"/>
    <mergeCell ref="BI55:BI60"/>
    <mergeCell ref="A55:A60"/>
    <mergeCell ref="R55:R60"/>
    <mergeCell ref="F49:F54"/>
    <mergeCell ref="F55:F60"/>
    <mergeCell ref="P55:P60"/>
    <mergeCell ref="Q55:Q60"/>
    <mergeCell ref="Q49:Q54"/>
    <mergeCell ref="BA49:BA54"/>
    <mergeCell ref="BB49:BB54"/>
    <mergeCell ref="BG49:BG54"/>
    <mergeCell ref="BH49:BH54"/>
    <mergeCell ref="BI49:BI54"/>
    <mergeCell ref="BH61:BH66"/>
    <mergeCell ref="BI61:BI66"/>
    <mergeCell ref="A67:A72"/>
    <mergeCell ref="B67:B72"/>
    <mergeCell ref="C67:C72"/>
    <mergeCell ref="G67:G72"/>
    <mergeCell ref="M67:M72"/>
    <mergeCell ref="N67:N72"/>
    <mergeCell ref="O67:O72"/>
    <mergeCell ref="O61:O66"/>
    <mergeCell ref="P61:P66"/>
    <mergeCell ref="Q61:Q66"/>
    <mergeCell ref="BA61:BA66"/>
    <mergeCell ref="BB61:BB66"/>
    <mergeCell ref="BG61:BG66"/>
    <mergeCell ref="A61:A66"/>
    <mergeCell ref="B61:B66"/>
    <mergeCell ref="C61:C66"/>
    <mergeCell ref="G61:G66"/>
    <mergeCell ref="M61:M66"/>
    <mergeCell ref="N61:N66"/>
    <mergeCell ref="BI67:BI72"/>
    <mergeCell ref="R61:R66"/>
    <mergeCell ref="F61:F66"/>
    <mergeCell ref="F67:F72"/>
    <mergeCell ref="A73:A78"/>
    <mergeCell ref="B73:B78"/>
    <mergeCell ref="C73:C78"/>
    <mergeCell ref="G73:G78"/>
    <mergeCell ref="M73:M78"/>
    <mergeCell ref="N73:N78"/>
    <mergeCell ref="O73:O78"/>
    <mergeCell ref="P73:P78"/>
    <mergeCell ref="P67:P72"/>
    <mergeCell ref="Q67:Q72"/>
    <mergeCell ref="BA67:BA72"/>
    <mergeCell ref="BB67:BB72"/>
    <mergeCell ref="BG67:BG72"/>
    <mergeCell ref="BH67:BH72"/>
    <mergeCell ref="Q73:Q78"/>
    <mergeCell ref="BA73:BA78"/>
    <mergeCell ref="BB73:BB78"/>
    <mergeCell ref="BG73:BG78"/>
    <mergeCell ref="BH73:BH78"/>
    <mergeCell ref="R67:R72"/>
    <mergeCell ref="R73:R78"/>
    <mergeCell ref="F73:F78"/>
    <mergeCell ref="BI73:BI78"/>
    <mergeCell ref="M85:M90"/>
    <mergeCell ref="N85:N90"/>
    <mergeCell ref="BI91:BI96"/>
    <mergeCell ref="BA79:BA84"/>
    <mergeCell ref="BB79:BB84"/>
    <mergeCell ref="BG79:BG84"/>
    <mergeCell ref="BH79:BH84"/>
    <mergeCell ref="BI79:BI84"/>
    <mergeCell ref="Q91:Q96"/>
    <mergeCell ref="BA91:BA96"/>
    <mergeCell ref="BB91:BB96"/>
    <mergeCell ref="BG91:BG96"/>
    <mergeCell ref="BH91:BH96"/>
    <mergeCell ref="A79:A84"/>
    <mergeCell ref="B79:B84"/>
    <mergeCell ref="C79:C84"/>
    <mergeCell ref="G79:G84"/>
    <mergeCell ref="M79:M84"/>
    <mergeCell ref="N79:N84"/>
    <mergeCell ref="O79:O84"/>
    <mergeCell ref="P79:P84"/>
    <mergeCell ref="Q79:Q84"/>
    <mergeCell ref="P91:P96"/>
    <mergeCell ref="BH85:BH90"/>
    <mergeCell ref="BI85:BI90"/>
    <mergeCell ref="A91:A96"/>
    <mergeCell ref="B91:B96"/>
    <mergeCell ref="C91:C96"/>
    <mergeCell ref="G91:G96"/>
    <mergeCell ref="M91:M96"/>
    <mergeCell ref="N91:N96"/>
    <mergeCell ref="P85:P90"/>
    <mergeCell ref="Q85:Q90"/>
    <mergeCell ref="BA85:BA90"/>
    <mergeCell ref="BB85:BB90"/>
    <mergeCell ref="BG85:BG90"/>
    <mergeCell ref="A85:A90"/>
    <mergeCell ref="B85:B90"/>
    <mergeCell ref="C85:C90"/>
    <mergeCell ref="G85:G90"/>
    <mergeCell ref="BA103:BA108"/>
    <mergeCell ref="BB103:BB108"/>
    <mergeCell ref="BG103:BG108"/>
    <mergeCell ref="BH103:BH108"/>
    <mergeCell ref="BI103:BI108"/>
    <mergeCell ref="A103:A108"/>
    <mergeCell ref="B103:B108"/>
    <mergeCell ref="C103:C108"/>
    <mergeCell ref="G103:G108"/>
    <mergeCell ref="M103:M108"/>
    <mergeCell ref="N103:N108"/>
    <mergeCell ref="O103:O108"/>
    <mergeCell ref="P103:P108"/>
    <mergeCell ref="Q103:Q108"/>
    <mergeCell ref="Q97:Q102"/>
    <mergeCell ref="BA97:BA102"/>
    <mergeCell ref="BB97:BB102"/>
    <mergeCell ref="BG97:BG102"/>
    <mergeCell ref="BH97:BH102"/>
    <mergeCell ref="BI97:BI102"/>
    <mergeCell ref="A97:A102"/>
    <mergeCell ref="B97:B102"/>
    <mergeCell ref="N97:N102"/>
    <mergeCell ref="P97:P102"/>
    <mergeCell ref="BG127:BG132"/>
    <mergeCell ref="O115:O120"/>
    <mergeCell ref="O109:O114"/>
    <mergeCell ref="P109:P114"/>
    <mergeCell ref="A109:A114"/>
    <mergeCell ref="B109:B114"/>
    <mergeCell ref="C109:C114"/>
    <mergeCell ref="G109:G114"/>
    <mergeCell ref="M109:M114"/>
    <mergeCell ref="N109:N114"/>
    <mergeCell ref="C97:C102"/>
    <mergeCell ref="G97:G102"/>
    <mergeCell ref="M97:M102"/>
    <mergeCell ref="A115:A120"/>
    <mergeCell ref="B115:B120"/>
    <mergeCell ref="C115:C120"/>
    <mergeCell ref="G115:G120"/>
    <mergeCell ref="M115:M120"/>
    <mergeCell ref="N115:N120"/>
    <mergeCell ref="F115:F120"/>
    <mergeCell ref="P115:P120"/>
    <mergeCell ref="A121:A126"/>
    <mergeCell ref="B121:B126"/>
    <mergeCell ref="C121:C126"/>
    <mergeCell ref="BH109:BH114"/>
    <mergeCell ref="BI109:BI114"/>
    <mergeCell ref="Q109:Q114"/>
    <mergeCell ref="BA109:BA114"/>
    <mergeCell ref="BB109:BB114"/>
    <mergeCell ref="BG109:BG114"/>
    <mergeCell ref="BI115:BI120"/>
    <mergeCell ref="Q115:Q120"/>
    <mergeCell ref="BA115:BA120"/>
    <mergeCell ref="BB115:BB120"/>
    <mergeCell ref="BG115:BG120"/>
    <mergeCell ref="BH115:BH120"/>
    <mergeCell ref="Q121:Q126"/>
    <mergeCell ref="BA121:BA126"/>
    <mergeCell ref="BB121:BB126"/>
    <mergeCell ref="B133:B138"/>
    <mergeCell ref="C133:C138"/>
    <mergeCell ref="G133:G138"/>
    <mergeCell ref="M133:M138"/>
    <mergeCell ref="BA133:BA138"/>
    <mergeCell ref="BB133:BB138"/>
    <mergeCell ref="BG133:BG138"/>
    <mergeCell ref="BH127:BH132"/>
    <mergeCell ref="N133:N138"/>
    <mergeCell ref="BI139:BI144"/>
    <mergeCell ref="BI127:BI132"/>
    <mergeCell ref="BH139:BH144"/>
    <mergeCell ref="G121:G126"/>
    <mergeCell ref="M121:M126"/>
    <mergeCell ref="N121:N126"/>
    <mergeCell ref="O121:O126"/>
    <mergeCell ref="P121:P126"/>
    <mergeCell ref="Q139:Q144"/>
    <mergeCell ref="BA139:BA144"/>
    <mergeCell ref="BB139:BB144"/>
    <mergeCell ref="BG139:BG144"/>
    <mergeCell ref="F133:F138"/>
    <mergeCell ref="F139:F144"/>
    <mergeCell ref="BG121:BG126"/>
    <mergeCell ref="BH121:BH126"/>
    <mergeCell ref="BI121:BI126"/>
    <mergeCell ref="Q133:Q138"/>
    <mergeCell ref="P145:P150"/>
    <mergeCell ref="P139:P144"/>
    <mergeCell ref="BH133:BH138"/>
    <mergeCell ref="BI133:BI138"/>
    <mergeCell ref="A139:A144"/>
    <mergeCell ref="B139:B144"/>
    <mergeCell ref="C139:C144"/>
    <mergeCell ref="G139:G144"/>
    <mergeCell ref="M139:M144"/>
    <mergeCell ref="N139:N144"/>
    <mergeCell ref="O139:O144"/>
    <mergeCell ref="O133:O138"/>
    <mergeCell ref="P133:P138"/>
    <mergeCell ref="A127:A132"/>
    <mergeCell ref="B127:B132"/>
    <mergeCell ref="C127:C132"/>
    <mergeCell ref="G127:G132"/>
    <mergeCell ref="M127:M132"/>
    <mergeCell ref="N127:N132"/>
    <mergeCell ref="O127:O132"/>
    <mergeCell ref="P127:P132"/>
    <mergeCell ref="Q127:Q132"/>
    <mergeCell ref="F127:F132"/>
    <mergeCell ref="BA127:BA132"/>
    <mergeCell ref="BB127:BB132"/>
    <mergeCell ref="Q145:Q150"/>
    <mergeCell ref="BA145:BA150"/>
    <mergeCell ref="BB145:BB150"/>
    <mergeCell ref="BG145:BG150"/>
    <mergeCell ref="BH145:BH150"/>
    <mergeCell ref="BI145:BI150"/>
    <mergeCell ref="A133:A138"/>
    <mergeCell ref="A145:A150"/>
    <mergeCell ref="B145:B150"/>
    <mergeCell ref="C145:C150"/>
    <mergeCell ref="G145:G150"/>
    <mergeCell ref="M145:M150"/>
    <mergeCell ref="N145:N150"/>
    <mergeCell ref="BA151:BA156"/>
    <mergeCell ref="BB151:BB156"/>
    <mergeCell ref="BG151:BG156"/>
    <mergeCell ref="BH151:BH156"/>
    <mergeCell ref="BI151:BI156"/>
    <mergeCell ref="F145:F150"/>
    <mergeCell ref="M163:M168"/>
    <mergeCell ref="N163:N168"/>
    <mergeCell ref="O163:O168"/>
    <mergeCell ref="O157:O162"/>
    <mergeCell ref="P157:P162"/>
    <mergeCell ref="A157:A162"/>
    <mergeCell ref="B157:B162"/>
    <mergeCell ref="C157:C162"/>
    <mergeCell ref="G157:G162"/>
    <mergeCell ref="M157:M162"/>
    <mergeCell ref="N157:N162"/>
    <mergeCell ref="F157:F162"/>
    <mergeCell ref="BH157:BH162"/>
    <mergeCell ref="M151:M156"/>
    <mergeCell ref="N151:N156"/>
    <mergeCell ref="O151:O156"/>
    <mergeCell ref="P151:P156"/>
    <mergeCell ref="Q151:Q156"/>
    <mergeCell ref="F151:F156"/>
    <mergeCell ref="O145:O150"/>
    <mergeCell ref="BG187:BG192"/>
    <mergeCell ref="BH187:BH192"/>
    <mergeCell ref="BA175:BA180"/>
    <mergeCell ref="BB175:BB180"/>
    <mergeCell ref="BI157:BI162"/>
    <mergeCell ref="Q163:Q168"/>
    <mergeCell ref="BA163:BA168"/>
    <mergeCell ref="BB163:BB168"/>
    <mergeCell ref="BG163:BG168"/>
    <mergeCell ref="BH163:BH168"/>
    <mergeCell ref="A151:A156"/>
    <mergeCell ref="B151:B156"/>
    <mergeCell ref="C151:C156"/>
    <mergeCell ref="G151:G156"/>
    <mergeCell ref="BI163:BI168"/>
    <mergeCell ref="R163:R168"/>
    <mergeCell ref="R169:R174"/>
    <mergeCell ref="R175:R180"/>
    <mergeCell ref="C169:C174"/>
    <mergeCell ref="G169:G174"/>
    <mergeCell ref="M169:M174"/>
    <mergeCell ref="N169:N174"/>
    <mergeCell ref="O169:O174"/>
    <mergeCell ref="P169:P174"/>
    <mergeCell ref="P163:P168"/>
    <mergeCell ref="F163:F168"/>
    <mergeCell ref="BG175:BG180"/>
    <mergeCell ref="BH175:BH180"/>
    <mergeCell ref="A163:A168"/>
    <mergeCell ref="B163:B168"/>
    <mergeCell ref="C163:C168"/>
    <mergeCell ref="G163:G168"/>
    <mergeCell ref="B199:B204"/>
    <mergeCell ref="C199:C204"/>
    <mergeCell ref="G199:G204"/>
    <mergeCell ref="M199:M204"/>
    <mergeCell ref="M181:M186"/>
    <mergeCell ref="N181:N186"/>
    <mergeCell ref="Q157:Q162"/>
    <mergeCell ref="BA157:BA162"/>
    <mergeCell ref="BB157:BB162"/>
    <mergeCell ref="BG157:BG162"/>
    <mergeCell ref="BI187:BI192"/>
    <mergeCell ref="BI175:BI180"/>
    <mergeCell ref="A175:A180"/>
    <mergeCell ref="B175:B180"/>
    <mergeCell ref="C175:C180"/>
    <mergeCell ref="G175:G180"/>
    <mergeCell ref="M175:M180"/>
    <mergeCell ref="N175:N180"/>
    <mergeCell ref="O175:O180"/>
    <mergeCell ref="P175:P180"/>
    <mergeCell ref="Q175:Q180"/>
    <mergeCell ref="Q169:Q174"/>
    <mergeCell ref="BA169:BA174"/>
    <mergeCell ref="BB169:BB174"/>
    <mergeCell ref="BG169:BG174"/>
    <mergeCell ref="BH169:BH174"/>
    <mergeCell ref="BI169:BI174"/>
    <mergeCell ref="A169:A174"/>
    <mergeCell ref="B169:B174"/>
    <mergeCell ref="Q187:Q192"/>
    <mergeCell ref="BA187:BA192"/>
    <mergeCell ref="BB187:BB192"/>
    <mergeCell ref="M211:M216"/>
    <mergeCell ref="N211:N216"/>
    <mergeCell ref="O211:O216"/>
    <mergeCell ref="O205:O210"/>
    <mergeCell ref="BA199:BA204"/>
    <mergeCell ref="BB199:BB204"/>
    <mergeCell ref="BG199:BG204"/>
    <mergeCell ref="BH199:BH204"/>
    <mergeCell ref="BI199:BI204"/>
    <mergeCell ref="O193:O198"/>
    <mergeCell ref="P193:P198"/>
    <mergeCell ref="P187:P192"/>
    <mergeCell ref="BH181:BH186"/>
    <mergeCell ref="BI181:BI186"/>
    <mergeCell ref="A187:A192"/>
    <mergeCell ref="B187:B192"/>
    <mergeCell ref="C187:C192"/>
    <mergeCell ref="G187:G192"/>
    <mergeCell ref="M187:M192"/>
    <mergeCell ref="N187:N192"/>
    <mergeCell ref="O187:O192"/>
    <mergeCell ref="O181:O186"/>
    <mergeCell ref="P181:P186"/>
    <mergeCell ref="Q181:Q186"/>
    <mergeCell ref="BA181:BA186"/>
    <mergeCell ref="BB181:BB186"/>
    <mergeCell ref="BG181:BG186"/>
    <mergeCell ref="A181:A186"/>
    <mergeCell ref="B181:B186"/>
    <mergeCell ref="C181:C186"/>
    <mergeCell ref="G181:G186"/>
    <mergeCell ref="A199:A204"/>
    <mergeCell ref="B217:B222"/>
    <mergeCell ref="BA223:BA228"/>
    <mergeCell ref="BB223:BB228"/>
    <mergeCell ref="BG223:BG228"/>
    <mergeCell ref="N199:N204"/>
    <mergeCell ref="O199:O204"/>
    <mergeCell ref="P199:P204"/>
    <mergeCell ref="Q199:Q204"/>
    <mergeCell ref="Q193:Q198"/>
    <mergeCell ref="BA193:BA198"/>
    <mergeCell ref="BB193:BB198"/>
    <mergeCell ref="BG193:BG198"/>
    <mergeCell ref="BH193:BH198"/>
    <mergeCell ref="BI193:BI198"/>
    <mergeCell ref="A193:A198"/>
    <mergeCell ref="B193:B198"/>
    <mergeCell ref="C193:C198"/>
    <mergeCell ref="G193:G198"/>
    <mergeCell ref="M193:M198"/>
    <mergeCell ref="N193:N198"/>
    <mergeCell ref="P211:P216"/>
    <mergeCell ref="BH205:BH210"/>
    <mergeCell ref="BI205:BI210"/>
    <mergeCell ref="Q211:Q216"/>
    <mergeCell ref="BA211:BA216"/>
    <mergeCell ref="BB211:BB216"/>
    <mergeCell ref="BG211:BG216"/>
    <mergeCell ref="BH211:BH216"/>
    <mergeCell ref="A211:A216"/>
    <mergeCell ref="B211:B216"/>
    <mergeCell ref="C211:C216"/>
    <mergeCell ref="G211:G216"/>
    <mergeCell ref="M229:M234"/>
    <mergeCell ref="N229:N234"/>
    <mergeCell ref="BI235:BI240"/>
    <mergeCell ref="Q235:Q240"/>
    <mergeCell ref="P205:P210"/>
    <mergeCell ref="Q205:Q210"/>
    <mergeCell ref="BA205:BA210"/>
    <mergeCell ref="BB205:BB210"/>
    <mergeCell ref="BG205:BG210"/>
    <mergeCell ref="A205:A210"/>
    <mergeCell ref="B205:B210"/>
    <mergeCell ref="C205:C210"/>
    <mergeCell ref="G205:G210"/>
    <mergeCell ref="M205:M210"/>
    <mergeCell ref="N205:N210"/>
    <mergeCell ref="BI211:BI216"/>
    <mergeCell ref="A223:A228"/>
    <mergeCell ref="B223:B228"/>
    <mergeCell ref="C223:C228"/>
    <mergeCell ref="G223:G228"/>
    <mergeCell ref="M223:M228"/>
    <mergeCell ref="N223:N228"/>
    <mergeCell ref="O223:O228"/>
    <mergeCell ref="P223:P228"/>
    <mergeCell ref="Q223:Q228"/>
    <mergeCell ref="Q217:Q222"/>
    <mergeCell ref="BA217:BA222"/>
    <mergeCell ref="BB217:BB222"/>
    <mergeCell ref="BG217:BG222"/>
    <mergeCell ref="BH217:BH222"/>
    <mergeCell ref="BI217:BI222"/>
    <mergeCell ref="A217:A222"/>
    <mergeCell ref="P241:P246"/>
    <mergeCell ref="C241:C246"/>
    <mergeCell ref="G241:G246"/>
    <mergeCell ref="M241:M246"/>
    <mergeCell ref="BH223:BH228"/>
    <mergeCell ref="C217:C222"/>
    <mergeCell ref="G217:G222"/>
    <mergeCell ref="BI223:BI228"/>
    <mergeCell ref="M217:M222"/>
    <mergeCell ref="N217:N222"/>
    <mergeCell ref="O217:O222"/>
    <mergeCell ref="P217:P222"/>
    <mergeCell ref="P235:P240"/>
    <mergeCell ref="BH229:BH234"/>
    <mergeCell ref="BI229:BI234"/>
    <mergeCell ref="A235:A240"/>
    <mergeCell ref="B235:B240"/>
    <mergeCell ref="C235:C240"/>
    <mergeCell ref="G235:G240"/>
    <mergeCell ref="M235:M240"/>
    <mergeCell ref="N235:N240"/>
    <mergeCell ref="O235:O240"/>
    <mergeCell ref="O229:O234"/>
    <mergeCell ref="P229:P234"/>
    <mergeCell ref="Q229:Q234"/>
    <mergeCell ref="BA229:BA234"/>
    <mergeCell ref="BB229:BB234"/>
    <mergeCell ref="BG229:BG234"/>
    <mergeCell ref="A229:A234"/>
    <mergeCell ref="B229:B234"/>
    <mergeCell ref="C229:C234"/>
    <mergeCell ref="G229:G234"/>
    <mergeCell ref="N259:N264"/>
    <mergeCell ref="BA247:BA252"/>
    <mergeCell ref="BA235:BA240"/>
    <mergeCell ref="P259:P264"/>
    <mergeCell ref="BB235:BB240"/>
    <mergeCell ref="BG235:BG240"/>
    <mergeCell ref="BH235:BH240"/>
    <mergeCell ref="R235:R240"/>
    <mergeCell ref="BB247:BB252"/>
    <mergeCell ref="BG247:BG252"/>
    <mergeCell ref="BH247:BH252"/>
    <mergeCell ref="F253:F258"/>
    <mergeCell ref="BI247:BI252"/>
    <mergeCell ref="A247:A252"/>
    <mergeCell ref="B247:B252"/>
    <mergeCell ref="C247:C252"/>
    <mergeCell ref="G247:G252"/>
    <mergeCell ref="M247:M252"/>
    <mergeCell ref="N247:N252"/>
    <mergeCell ref="O247:O252"/>
    <mergeCell ref="P247:P252"/>
    <mergeCell ref="Q247:Q252"/>
    <mergeCell ref="Q241:Q246"/>
    <mergeCell ref="BA241:BA246"/>
    <mergeCell ref="BB241:BB246"/>
    <mergeCell ref="BG241:BG246"/>
    <mergeCell ref="BH241:BH246"/>
    <mergeCell ref="BI241:BI246"/>
    <mergeCell ref="A241:A246"/>
    <mergeCell ref="B241:B246"/>
    <mergeCell ref="N241:N246"/>
    <mergeCell ref="O241:O246"/>
    <mergeCell ref="A265:A270"/>
    <mergeCell ref="B265:B270"/>
    <mergeCell ref="C265:C270"/>
    <mergeCell ref="BH253:BH258"/>
    <mergeCell ref="BI253:BI258"/>
    <mergeCell ref="Q253:Q258"/>
    <mergeCell ref="BA253:BA258"/>
    <mergeCell ref="BB253:BB258"/>
    <mergeCell ref="BG253:BG258"/>
    <mergeCell ref="BI259:BI264"/>
    <mergeCell ref="Q259:Q264"/>
    <mergeCell ref="BA259:BA264"/>
    <mergeCell ref="BB259:BB264"/>
    <mergeCell ref="BG259:BG264"/>
    <mergeCell ref="BH259:BH264"/>
    <mergeCell ref="Q265:Q270"/>
    <mergeCell ref="BA265:BA270"/>
    <mergeCell ref="BB265:BB270"/>
    <mergeCell ref="O259:O264"/>
    <mergeCell ref="O253:O258"/>
    <mergeCell ref="P253:P258"/>
    <mergeCell ref="A253:A258"/>
    <mergeCell ref="B253:B258"/>
    <mergeCell ref="C253:C258"/>
    <mergeCell ref="G253:G258"/>
    <mergeCell ref="M253:M258"/>
    <mergeCell ref="N253:N258"/>
    <mergeCell ref="A259:A264"/>
    <mergeCell ref="B259:B264"/>
    <mergeCell ref="C259:C264"/>
    <mergeCell ref="G259:G264"/>
    <mergeCell ref="M259:M264"/>
    <mergeCell ref="BI271:BI276"/>
    <mergeCell ref="BH283:BH288"/>
    <mergeCell ref="G265:G270"/>
    <mergeCell ref="M265:M270"/>
    <mergeCell ref="N265:N270"/>
    <mergeCell ref="O265:O270"/>
    <mergeCell ref="P265:P270"/>
    <mergeCell ref="Q277:Q282"/>
    <mergeCell ref="BA277:BA282"/>
    <mergeCell ref="BB277:BB282"/>
    <mergeCell ref="BG277:BG282"/>
    <mergeCell ref="Q283:Q288"/>
    <mergeCell ref="BA283:BA288"/>
    <mergeCell ref="BB283:BB288"/>
    <mergeCell ref="BG283:BG288"/>
    <mergeCell ref="F277:F282"/>
    <mergeCell ref="F283:F288"/>
    <mergeCell ref="BG265:BG270"/>
    <mergeCell ref="BH265:BH270"/>
    <mergeCell ref="BI265:BI270"/>
    <mergeCell ref="P283:P288"/>
    <mergeCell ref="BH277:BH282"/>
    <mergeCell ref="BI277:BI282"/>
    <mergeCell ref="Q271:Q276"/>
    <mergeCell ref="BA271:BA276"/>
    <mergeCell ref="BB271:BB276"/>
    <mergeCell ref="BG271:BG276"/>
    <mergeCell ref="BH271:BH276"/>
    <mergeCell ref="BI283:BI288"/>
    <mergeCell ref="A283:A288"/>
    <mergeCell ref="B283:B288"/>
    <mergeCell ref="C283:C288"/>
    <mergeCell ref="G283:G288"/>
    <mergeCell ref="M283:M288"/>
    <mergeCell ref="N283:N288"/>
    <mergeCell ref="O283:O288"/>
    <mergeCell ref="O277:O282"/>
    <mergeCell ref="P277:P282"/>
    <mergeCell ref="A271:A276"/>
    <mergeCell ref="B271:B276"/>
    <mergeCell ref="C271:C276"/>
    <mergeCell ref="G271:G276"/>
    <mergeCell ref="M271:M276"/>
    <mergeCell ref="N271:N276"/>
    <mergeCell ref="O271:O276"/>
    <mergeCell ref="P271:P276"/>
    <mergeCell ref="N277:N282"/>
    <mergeCell ref="A277:A282"/>
    <mergeCell ref="B277:B282"/>
    <mergeCell ref="C277:C282"/>
    <mergeCell ref="G277:G282"/>
    <mergeCell ref="M277:M282"/>
    <mergeCell ref="A295:A300"/>
    <mergeCell ref="B295:B300"/>
    <mergeCell ref="C295:C300"/>
    <mergeCell ref="G295:G300"/>
    <mergeCell ref="M295:M300"/>
    <mergeCell ref="N295:N300"/>
    <mergeCell ref="O295:O300"/>
    <mergeCell ref="P295:P300"/>
    <mergeCell ref="Q295:Q300"/>
    <mergeCell ref="F295:F300"/>
    <mergeCell ref="Q289:Q294"/>
    <mergeCell ref="BA289:BA294"/>
    <mergeCell ref="BB289:BB294"/>
    <mergeCell ref="BG289:BG294"/>
    <mergeCell ref="BH289:BH294"/>
    <mergeCell ref="BI289:BI294"/>
    <mergeCell ref="A289:A294"/>
    <mergeCell ref="B289:B294"/>
    <mergeCell ref="C289:C294"/>
    <mergeCell ref="G289:G294"/>
    <mergeCell ref="M289:M294"/>
    <mergeCell ref="N289:N294"/>
    <mergeCell ref="F289:F294"/>
    <mergeCell ref="O289:O294"/>
    <mergeCell ref="P289:P294"/>
    <mergeCell ref="Q301:Q306"/>
    <mergeCell ref="BA301:BA306"/>
    <mergeCell ref="BB301:BB306"/>
    <mergeCell ref="BG301:BG306"/>
    <mergeCell ref="BA295:BA300"/>
    <mergeCell ref="BB295:BB300"/>
    <mergeCell ref="BG295:BG300"/>
    <mergeCell ref="BH295:BH300"/>
    <mergeCell ref="BI295:BI300"/>
    <mergeCell ref="A307:A312"/>
    <mergeCell ref="B307:B312"/>
    <mergeCell ref="C307:C312"/>
    <mergeCell ref="G307:G312"/>
    <mergeCell ref="M307:M312"/>
    <mergeCell ref="N307:N312"/>
    <mergeCell ref="O307:O312"/>
    <mergeCell ref="O301:O306"/>
    <mergeCell ref="P301:P306"/>
    <mergeCell ref="A301:A306"/>
    <mergeCell ref="B301:B306"/>
    <mergeCell ref="C301:C306"/>
    <mergeCell ref="G301:G306"/>
    <mergeCell ref="M301:M306"/>
    <mergeCell ref="N301:N306"/>
    <mergeCell ref="F301:F306"/>
    <mergeCell ref="BH301:BH306"/>
    <mergeCell ref="BI301:BI306"/>
    <mergeCell ref="Q307:Q312"/>
    <mergeCell ref="BA307:BA312"/>
    <mergeCell ref="BB307:BB312"/>
    <mergeCell ref="BG307:BG312"/>
    <mergeCell ref="BH307:BH312"/>
    <mergeCell ref="BI307:BI312"/>
    <mergeCell ref="C313:C318"/>
    <mergeCell ref="G313:G318"/>
    <mergeCell ref="M313:M318"/>
    <mergeCell ref="N313:N318"/>
    <mergeCell ref="O313:O318"/>
    <mergeCell ref="P313:P318"/>
    <mergeCell ref="P307:P312"/>
    <mergeCell ref="F307:F312"/>
    <mergeCell ref="M325:M330"/>
    <mergeCell ref="N325:N330"/>
    <mergeCell ref="BI331:BI336"/>
    <mergeCell ref="BI319:BI324"/>
    <mergeCell ref="Q331:Q336"/>
    <mergeCell ref="BA331:BA336"/>
    <mergeCell ref="BB331:BB336"/>
    <mergeCell ref="BG331:BG336"/>
    <mergeCell ref="BH331:BH336"/>
    <mergeCell ref="R307:R312"/>
    <mergeCell ref="R325:R330"/>
    <mergeCell ref="R331:R336"/>
    <mergeCell ref="F319:F324"/>
    <mergeCell ref="F325:F330"/>
    <mergeCell ref="F331:F336"/>
    <mergeCell ref="P331:P336"/>
    <mergeCell ref="BH325:BH330"/>
    <mergeCell ref="BI325:BI330"/>
    <mergeCell ref="A319:A324"/>
    <mergeCell ref="B319:B324"/>
    <mergeCell ref="C319:C324"/>
    <mergeCell ref="G319:G324"/>
    <mergeCell ref="M319:M324"/>
    <mergeCell ref="N319:N324"/>
    <mergeCell ref="O319:O324"/>
    <mergeCell ref="P319:P324"/>
    <mergeCell ref="Q319:Q324"/>
    <mergeCell ref="Q313:Q318"/>
    <mergeCell ref="BA313:BA318"/>
    <mergeCell ref="BB313:BB318"/>
    <mergeCell ref="BG313:BG318"/>
    <mergeCell ref="BH313:BH318"/>
    <mergeCell ref="BI313:BI318"/>
    <mergeCell ref="A313:A318"/>
    <mergeCell ref="B313:B318"/>
    <mergeCell ref="R313:R318"/>
    <mergeCell ref="R319:R324"/>
    <mergeCell ref="BA319:BA324"/>
    <mergeCell ref="BB319:BB324"/>
    <mergeCell ref="BG319:BG324"/>
    <mergeCell ref="BH319:BH324"/>
    <mergeCell ref="A331:A336"/>
    <mergeCell ref="B331:B336"/>
    <mergeCell ref="C331:C336"/>
    <mergeCell ref="G331:G336"/>
    <mergeCell ref="M331:M336"/>
    <mergeCell ref="N331:N336"/>
    <mergeCell ref="O331:O336"/>
    <mergeCell ref="O325:O330"/>
    <mergeCell ref="P325:P330"/>
    <mergeCell ref="Q325:Q330"/>
    <mergeCell ref="BA325:BA330"/>
    <mergeCell ref="BB325:BB330"/>
    <mergeCell ref="BG325:BG330"/>
    <mergeCell ref="A325:A330"/>
    <mergeCell ref="B325:B330"/>
    <mergeCell ref="C325:C330"/>
    <mergeCell ref="G325:G330"/>
    <mergeCell ref="Q337:Q342"/>
    <mergeCell ref="BA337:BA342"/>
    <mergeCell ref="BB337:BB342"/>
    <mergeCell ref="BG337:BG342"/>
    <mergeCell ref="BH337:BH342"/>
    <mergeCell ref="BI337:BI342"/>
    <mergeCell ref="A337:A342"/>
    <mergeCell ref="B337:B342"/>
    <mergeCell ref="C337:C342"/>
    <mergeCell ref="G337:G342"/>
    <mergeCell ref="M337:M342"/>
    <mergeCell ref="N337:N342"/>
    <mergeCell ref="BI349:BI354"/>
    <mergeCell ref="BH349:BH354"/>
    <mergeCell ref="R337:R342"/>
    <mergeCell ref="R343:R348"/>
    <mergeCell ref="BA343:BA348"/>
    <mergeCell ref="BB343:BB348"/>
    <mergeCell ref="BG343:BG348"/>
    <mergeCell ref="BH343:BH348"/>
    <mergeCell ref="BI343:BI348"/>
    <mergeCell ref="O337:O342"/>
    <mergeCell ref="P337:P342"/>
    <mergeCell ref="A343:A348"/>
    <mergeCell ref="B343:B348"/>
    <mergeCell ref="C343:C348"/>
    <mergeCell ref="G343:G348"/>
    <mergeCell ref="M343:M348"/>
    <mergeCell ref="F337:F342"/>
    <mergeCell ref="F343:F348"/>
    <mergeCell ref="F349:F354"/>
    <mergeCell ref="O349:O354"/>
    <mergeCell ref="P349:P354"/>
    <mergeCell ref="Q349:Q354"/>
    <mergeCell ref="BA349:BA354"/>
    <mergeCell ref="BB349:BB354"/>
    <mergeCell ref="BG349:BG354"/>
    <mergeCell ref="A349:A354"/>
    <mergeCell ref="B349:B354"/>
    <mergeCell ref="C349:C354"/>
    <mergeCell ref="G349:G354"/>
    <mergeCell ref="M349:M354"/>
    <mergeCell ref="N349:N354"/>
    <mergeCell ref="R349:R354"/>
    <mergeCell ref="N343:N348"/>
    <mergeCell ref="O343:O348"/>
    <mergeCell ref="P343:P348"/>
    <mergeCell ref="Q343:Q348"/>
    <mergeCell ref="Q361:Q366"/>
    <mergeCell ref="BA361:BA366"/>
    <mergeCell ref="BB361:BB366"/>
    <mergeCell ref="BG361:BG366"/>
    <mergeCell ref="BH361:BH366"/>
    <mergeCell ref="BI361:BI366"/>
    <mergeCell ref="BI355:BI360"/>
    <mergeCell ref="Q355:Q360"/>
    <mergeCell ref="BA355:BA360"/>
    <mergeCell ref="BB355:BB360"/>
    <mergeCell ref="BG355:BG360"/>
    <mergeCell ref="BH355:BH360"/>
    <mergeCell ref="R355:R360"/>
    <mergeCell ref="R361:R366"/>
    <mergeCell ref="A361:A366"/>
    <mergeCell ref="B361:B366"/>
    <mergeCell ref="C361:C366"/>
    <mergeCell ref="G361:G366"/>
    <mergeCell ref="M361:M366"/>
    <mergeCell ref="N361:N366"/>
    <mergeCell ref="O361:O366"/>
    <mergeCell ref="P361:P366"/>
    <mergeCell ref="P355:P360"/>
    <mergeCell ref="A355:A360"/>
    <mergeCell ref="B355:B360"/>
    <mergeCell ref="C355:C360"/>
    <mergeCell ref="G355:G360"/>
    <mergeCell ref="M355:M360"/>
    <mergeCell ref="N355:N360"/>
    <mergeCell ref="O355:O360"/>
    <mergeCell ref="F355:F360"/>
    <mergeCell ref="F361:F366"/>
    <mergeCell ref="R79:R84"/>
    <mergeCell ref="R85:R90"/>
    <mergeCell ref="R91:R96"/>
    <mergeCell ref="R97:R102"/>
    <mergeCell ref="R103:R108"/>
    <mergeCell ref="R4:R5"/>
    <mergeCell ref="R7:R12"/>
    <mergeCell ref="R13:R18"/>
    <mergeCell ref="R19:R24"/>
    <mergeCell ref="R25:R30"/>
    <mergeCell ref="R31:R36"/>
    <mergeCell ref="R37:R42"/>
    <mergeCell ref="R43:R48"/>
    <mergeCell ref="R49:R54"/>
    <mergeCell ref="R181:R186"/>
    <mergeCell ref="R187:R192"/>
    <mergeCell ref="R193:R198"/>
    <mergeCell ref="R199:R204"/>
    <mergeCell ref="R205:R210"/>
    <mergeCell ref="R211:R216"/>
    <mergeCell ref="R217:R222"/>
    <mergeCell ref="R223:R228"/>
    <mergeCell ref="R229:R234"/>
    <mergeCell ref="R109:R114"/>
    <mergeCell ref="R115:R120"/>
    <mergeCell ref="R121:R126"/>
    <mergeCell ref="R127:R132"/>
    <mergeCell ref="R133:R138"/>
    <mergeCell ref="R139:R144"/>
    <mergeCell ref="R145:R150"/>
    <mergeCell ref="R151:R156"/>
    <mergeCell ref="R157:R162"/>
    <mergeCell ref="R295:R300"/>
    <mergeCell ref="R301:R306"/>
    <mergeCell ref="R241:R246"/>
    <mergeCell ref="R247:R252"/>
    <mergeCell ref="R253:R258"/>
    <mergeCell ref="R259:R264"/>
    <mergeCell ref="R265:R270"/>
    <mergeCell ref="R271:R276"/>
    <mergeCell ref="R277:R282"/>
    <mergeCell ref="R283:R288"/>
    <mergeCell ref="R289:R294"/>
    <mergeCell ref="BJ25:BJ30"/>
    <mergeCell ref="BK25:BK30"/>
    <mergeCell ref="BL25:BL30"/>
    <mergeCell ref="BM25:BM30"/>
    <mergeCell ref="BJ31:BJ36"/>
    <mergeCell ref="BK31:BK36"/>
    <mergeCell ref="BL31:BL36"/>
    <mergeCell ref="BM31:BM36"/>
    <mergeCell ref="BJ37:BJ42"/>
    <mergeCell ref="BK37:BK42"/>
    <mergeCell ref="BL37:BL42"/>
    <mergeCell ref="BM37:BM42"/>
    <mergeCell ref="BJ7:BJ12"/>
    <mergeCell ref="BK7:BK12"/>
    <mergeCell ref="BL7:BL12"/>
    <mergeCell ref="BM7:BM12"/>
    <mergeCell ref="BJ13:BJ18"/>
    <mergeCell ref="BK13:BK18"/>
    <mergeCell ref="BL13:BL18"/>
    <mergeCell ref="BM13:BM18"/>
    <mergeCell ref="BJ19:BJ24"/>
    <mergeCell ref="BK19:BK24"/>
    <mergeCell ref="BL19:BL24"/>
    <mergeCell ref="BM19:BM24"/>
    <mergeCell ref="BJ61:BJ66"/>
    <mergeCell ref="BK61:BK66"/>
    <mergeCell ref="BL61:BL66"/>
    <mergeCell ref="BM61:BM66"/>
    <mergeCell ref="BJ67:BJ72"/>
    <mergeCell ref="BK67:BK72"/>
    <mergeCell ref="BL67:BL72"/>
    <mergeCell ref="BM67:BM72"/>
    <mergeCell ref="BJ73:BJ78"/>
    <mergeCell ref="BK73:BK78"/>
    <mergeCell ref="BL73:BL78"/>
    <mergeCell ref="BM73:BM78"/>
    <mergeCell ref="BJ43:BJ48"/>
    <mergeCell ref="BK43:BK48"/>
    <mergeCell ref="BL43:BL48"/>
    <mergeCell ref="BM43:BM48"/>
    <mergeCell ref="BJ49:BJ54"/>
    <mergeCell ref="BK49:BK54"/>
    <mergeCell ref="BL49:BL54"/>
    <mergeCell ref="BM49:BM54"/>
    <mergeCell ref="BJ55:BJ60"/>
    <mergeCell ref="BK55:BK60"/>
    <mergeCell ref="BL55:BL60"/>
    <mergeCell ref="BM55:BM60"/>
    <mergeCell ref="BJ97:BJ102"/>
    <mergeCell ref="BK97:BK102"/>
    <mergeCell ref="BL97:BL102"/>
    <mergeCell ref="BM97:BM102"/>
    <mergeCell ref="BJ103:BJ108"/>
    <mergeCell ref="BK103:BK108"/>
    <mergeCell ref="BL103:BL108"/>
    <mergeCell ref="BM103:BM108"/>
    <mergeCell ref="BJ109:BJ114"/>
    <mergeCell ref="BK109:BK114"/>
    <mergeCell ref="BL109:BL114"/>
    <mergeCell ref="BM109:BM114"/>
    <mergeCell ref="BJ79:BJ84"/>
    <mergeCell ref="BK79:BK84"/>
    <mergeCell ref="BL79:BL84"/>
    <mergeCell ref="BM79:BM84"/>
    <mergeCell ref="BJ85:BJ90"/>
    <mergeCell ref="BK85:BK90"/>
    <mergeCell ref="BL85:BL90"/>
    <mergeCell ref="BM85:BM90"/>
    <mergeCell ref="BJ91:BJ96"/>
    <mergeCell ref="BK91:BK96"/>
    <mergeCell ref="BL91:BL96"/>
    <mergeCell ref="BM91:BM96"/>
    <mergeCell ref="BJ133:BJ138"/>
    <mergeCell ref="BK133:BK138"/>
    <mergeCell ref="BL133:BL138"/>
    <mergeCell ref="BM133:BM138"/>
    <mergeCell ref="BJ139:BJ144"/>
    <mergeCell ref="BK139:BK144"/>
    <mergeCell ref="BL139:BL144"/>
    <mergeCell ref="BM139:BM144"/>
    <mergeCell ref="BJ145:BJ150"/>
    <mergeCell ref="BK145:BK150"/>
    <mergeCell ref="BL145:BL150"/>
    <mergeCell ref="BM145:BM150"/>
    <mergeCell ref="BJ115:BJ120"/>
    <mergeCell ref="BK115:BK120"/>
    <mergeCell ref="BL115:BL120"/>
    <mergeCell ref="BM115:BM120"/>
    <mergeCell ref="BJ121:BJ126"/>
    <mergeCell ref="BK121:BK126"/>
    <mergeCell ref="BL121:BL126"/>
    <mergeCell ref="BM121:BM126"/>
    <mergeCell ref="BJ127:BJ132"/>
    <mergeCell ref="BK127:BK132"/>
    <mergeCell ref="BL127:BL132"/>
    <mergeCell ref="BM127:BM132"/>
    <mergeCell ref="BJ169:BJ174"/>
    <mergeCell ref="BK169:BK174"/>
    <mergeCell ref="BL169:BL174"/>
    <mergeCell ref="BM169:BM174"/>
    <mergeCell ref="BJ175:BJ180"/>
    <mergeCell ref="BK175:BK180"/>
    <mergeCell ref="BL175:BL180"/>
    <mergeCell ref="BM175:BM180"/>
    <mergeCell ref="BJ181:BJ186"/>
    <mergeCell ref="BK181:BK186"/>
    <mergeCell ref="BL181:BL186"/>
    <mergeCell ref="BM181:BM186"/>
    <mergeCell ref="BJ151:BJ156"/>
    <mergeCell ref="BK151:BK156"/>
    <mergeCell ref="BL151:BL156"/>
    <mergeCell ref="BM151:BM156"/>
    <mergeCell ref="BJ157:BJ162"/>
    <mergeCell ref="BK157:BK162"/>
    <mergeCell ref="BL157:BL162"/>
    <mergeCell ref="BM157:BM162"/>
    <mergeCell ref="BJ163:BJ168"/>
    <mergeCell ref="BK163:BK168"/>
    <mergeCell ref="BL163:BL168"/>
    <mergeCell ref="BM163:BM168"/>
    <mergeCell ref="BJ205:BJ210"/>
    <mergeCell ref="BK205:BK210"/>
    <mergeCell ref="BL205:BL210"/>
    <mergeCell ref="BM205:BM210"/>
    <mergeCell ref="BJ211:BJ216"/>
    <mergeCell ref="BK211:BK216"/>
    <mergeCell ref="BL211:BL216"/>
    <mergeCell ref="BM211:BM216"/>
    <mergeCell ref="BJ217:BJ222"/>
    <mergeCell ref="BK217:BK222"/>
    <mergeCell ref="BL217:BL222"/>
    <mergeCell ref="BM217:BM222"/>
    <mergeCell ref="BJ187:BJ192"/>
    <mergeCell ref="BK187:BK192"/>
    <mergeCell ref="BL187:BL192"/>
    <mergeCell ref="BM187:BM192"/>
    <mergeCell ref="BJ193:BJ198"/>
    <mergeCell ref="BK193:BK198"/>
    <mergeCell ref="BL193:BL198"/>
    <mergeCell ref="BM193:BM198"/>
    <mergeCell ref="BJ199:BJ204"/>
    <mergeCell ref="BK199:BK204"/>
    <mergeCell ref="BL199:BL204"/>
    <mergeCell ref="BM199:BM204"/>
    <mergeCell ref="BJ241:BJ246"/>
    <mergeCell ref="BK241:BK246"/>
    <mergeCell ref="BL241:BL246"/>
    <mergeCell ref="BM241:BM246"/>
    <mergeCell ref="BJ247:BJ252"/>
    <mergeCell ref="BK247:BK252"/>
    <mergeCell ref="BL247:BL252"/>
    <mergeCell ref="BM247:BM252"/>
    <mergeCell ref="BJ253:BJ258"/>
    <mergeCell ref="BK253:BK258"/>
    <mergeCell ref="BL253:BL258"/>
    <mergeCell ref="BM253:BM258"/>
    <mergeCell ref="BJ223:BJ228"/>
    <mergeCell ref="BK223:BK228"/>
    <mergeCell ref="BL223:BL228"/>
    <mergeCell ref="BM223:BM228"/>
    <mergeCell ref="BJ229:BJ234"/>
    <mergeCell ref="BK229:BK234"/>
    <mergeCell ref="BL229:BL234"/>
    <mergeCell ref="BM229:BM234"/>
    <mergeCell ref="BJ235:BJ240"/>
    <mergeCell ref="BK235:BK240"/>
    <mergeCell ref="BL235:BL240"/>
    <mergeCell ref="BM235:BM240"/>
    <mergeCell ref="BJ277:BJ282"/>
    <mergeCell ref="BK277:BK282"/>
    <mergeCell ref="BL277:BL282"/>
    <mergeCell ref="BM277:BM282"/>
    <mergeCell ref="BJ283:BJ288"/>
    <mergeCell ref="BK283:BK288"/>
    <mergeCell ref="BL283:BL288"/>
    <mergeCell ref="BM283:BM288"/>
    <mergeCell ref="BJ289:BJ294"/>
    <mergeCell ref="BK289:BK294"/>
    <mergeCell ref="BL289:BL294"/>
    <mergeCell ref="BM289:BM294"/>
    <mergeCell ref="BJ259:BJ264"/>
    <mergeCell ref="BK259:BK264"/>
    <mergeCell ref="BL259:BL264"/>
    <mergeCell ref="BM259:BM264"/>
    <mergeCell ref="BJ265:BJ270"/>
    <mergeCell ref="BK265:BK270"/>
    <mergeCell ref="BL265:BL270"/>
    <mergeCell ref="BM265:BM270"/>
    <mergeCell ref="BJ271:BJ276"/>
    <mergeCell ref="BK271:BK276"/>
    <mergeCell ref="BL271:BL276"/>
    <mergeCell ref="BM271:BM276"/>
    <mergeCell ref="BJ313:BJ318"/>
    <mergeCell ref="BK313:BK318"/>
    <mergeCell ref="BL313:BL318"/>
    <mergeCell ref="BM313:BM318"/>
    <mergeCell ref="BJ319:BJ324"/>
    <mergeCell ref="BK319:BK324"/>
    <mergeCell ref="BL319:BL324"/>
    <mergeCell ref="BM319:BM324"/>
    <mergeCell ref="BJ325:BJ330"/>
    <mergeCell ref="BK325:BK330"/>
    <mergeCell ref="BL325:BL330"/>
    <mergeCell ref="BM325:BM330"/>
    <mergeCell ref="BJ295:BJ300"/>
    <mergeCell ref="BK295:BK300"/>
    <mergeCell ref="BL295:BL300"/>
    <mergeCell ref="BM295:BM300"/>
    <mergeCell ref="BJ301:BJ306"/>
    <mergeCell ref="BK301:BK306"/>
    <mergeCell ref="BL301:BL306"/>
    <mergeCell ref="BM301:BM306"/>
    <mergeCell ref="BJ307:BJ312"/>
    <mergeCell ref="BK307:BK312"/>
    <mergeCell ref="BL307:BL312"/>
    <mergeCell ref="BM307:BM312"/>
    <mergeCell ref="BJ349:BJ354"/>
    <mergeCell ref="BK349:BK354"/>
    <mergeCell ref="BL349:BL354"/>
    <mergeCell ref="BM349:BM354"/>
    <mergeCell ref="BJ355:BJ360"/>
    <mergeCell ref="BK355:BK360"/>
    <mergeCell ref="BL355:BL360"/>
    <mergeCell ref="BM355:BM360"/>
    <mergeCell ref="BJ361:BJ366"/>
    <mergeCell ref="BK361:BK366"/>
    <mergeCell ref="BL361:BL366"/>
    <mergeCell ref="BM361:BM366"/>
    <mergeCell ref="BJ331:BJ336"/>
    <mergeCell ref="BK331:BK336"/>
    <mergeCell ref="BL331:BL336"/>
    <mergeCell ref="BM331:BM336"/>
    <mergeCell ref="BJ337:BJ342"/>
    <mergeCell ref="BK337:BK342"/>
    <mergeCell ref="BL337:BL342"/>
    <mergeCell ref="BM337:BM342"/>
    <mergeCell ref="BJ343:BJ348"/>
    <mergeCell ref="BK343:BK348"/>
    <mergeCell ref="BL343:BL348"/>
    <mergeCell ref="BM343:BM348"/>
  </mergeCells>
  <conditionalFormatting sqref="Q7 S7:T7">
    <cfRule type="cellIs" dxfId="15" priority="16" operator="equal">
      <formula>"Extremo"</formula>
    </cfRule>
    <cfRule type="cellIs" dxfId="14" priority="17" operator="equal">
      <formula>"Alto"</formula>
    </cfRule>
    <cfRule type="cellIs" dxfId="13" priority="18" operator="equal">
      <formula>"Moderado"</formula>
    </cfRule>
    <cfRule type="cellIs" dxfId="12" priority="19" operator="equal">
      <formula>"Bajo"</formula>
    </cfRule>
  </conditionalFormatting>
  <conditionalFormatting sqref="Q13 S13:T13 Q19 S19:T19 Q25 S25:T25 Q31 S31:T31 Q37 S37:T37 Q43 S43:T43 Q49 S49:T49 Q55 S55:T55 Q61 S61:T61 Q67 S67:T67 Q73 S73:T73 Q79 S79:T79 Q85 S85:T85 Q91 S91:T91 Q97 S97:T97 Q103 S103:T103 Q109 S109:T109 Q115 S115:T115 Q121 S121:T121 Q127 S127:T127 Q133 S133:T133 Q139 S139:T139 Q145 S145:T145 Q151 S151:T151 Q157 S157:T157 Q163 S163:T163 Q169 S169:T169 Q175 S175:T175 Q181 S181:T181 Q187 S187:T187 Q193 S193:T193 Q199 S199:T199 Q205 S205:T205 Q211 S211:T211 Q217 S217:T217 Q223 S223:T223 Q229 S229:T229 Q235 S235:T235 Q241 S241:T241 Q247 S247:T247 Q253 S253:T253 Q259 S259:T259 Q265 S265:T265 Q271 S271:T271 Q277 S277:T277 Q283 S283:T283 Q289 S289:T289 Q295 S295:T295 Q301 S301:T301 Q307 S307:T307 Q313 S313:T313 Q319 S319:T319 Q325 S325:T325 Q331 S331:T331 Q337 S337:T337 Q343 S343:T343 Q349 S349:T349 Q355 S355:T355 Q361 S361:T361">
    <cfRule type="cellIs" dxfId="11" priority="8" operator="equal">
      <formula>"Extremo"</formula>
    </cfRule>
    <cfRule type="cellIs" dxfId="10" priority="9" operator="equal">
      <formula>"Alto"</formula>
    </cfRule>
    <cfRule type="cellIs" dxfId="9" priority="10" operator="equal">
      <formula>"Moderado"</formula>
    </cfRule>
    <cfRule type="cellIs" dxfId="8" priority="11" operator="equal">
      <formula>"Bajo"</formula>
    </cfRule>
  </conditionalFormatting>
  <conditionalFormatting sqref="BI7">
    <cfRule type="cellIs" dxfId="7" priority="12" operator="equal">
      <formula>"Extremo"</formula>
    </cfRule>
    <cfRule type="cellIs" dxfId="6" priority="13" operator="equal">
      <formula>"Alto"</formula>
    </cfRule>
    <cfRule type="cellIs" dxfId="5" priority="14" operator="equal">
      <formula>"Moderado"</formula>
    </cfRule>
    <cfRule type="cellIs" dxfId="4" priority="15" operator="equal">
      <formula>"Bajo"</formula>
    </cfRule>
  </conditionalFormatting>
  <conditionalFormatting sqref="BI13 BI19 BI25 BI31 BI37 BI43 BI49 BI55 BI61 BI67 BI73 BI79 BI85 BI91 BI97 BI103 BI109 BI115 BI121 BI127 BI133 BI139 BI145 BI151 BI157 BI163 BI169 BI175 BI181 BI187 BI193 BI199 BI205 BI211 BI217 BI223 BI229 BI235 BI241 BI247 BI253 BI259 BI265 BI271 BI277 BI283 BI289 BI295 BI301 BI307 BI313 BI319 BI325 BI331 BI337 BI343 BI349 BI355 BI361">
    <cfRule type="cellIs" dxfId="3" priority="4" operator="equal">
      <formula>"Extremo"</formula>
    </cfRule>
    <cfRule type="cellIs" dxfId="2" priority="5" operator="equal">
      <formula>"Alto"</formula>
    </cfRule>
    <cfRule type="cellIs" dxfId="1" priority="6" operator="equal">
      <formula>"Moderado"</formula>
    </cfRule>
    <cfRule type="cellIs" dxfId="0" priority="7" operator="equal">
      <formula>"Bajo"</formula>
    </cfRule>
  </conditionalFormatting>
  <dataValidations count="50">
    <dataValidation allowBlank="1" showInputMessage="1" showErrorMessage="1" prompt="Fuerte: 100_x000a__x000a_Moderado: Entre 50 y 99_x000a__x000a_Débil: Menor a 50" sqref="BB6" xr:uid="{00000000-0002-0000-0300-000000000000}"/>
    <dataValidation allowBlank="1" showInputMessage="1" showErrorMessage="1" prompt="Fuerte: 100_x000a__x000a_Moderado: 50_x000a__x000a_Débil: 0" sqref="AZ6" xr:uid="{00000000-0002-0000-0300-000001000000}"/>
    <dataValidation allowBlank="1" showInputMessage="1" showErrorMessage="1" prompt="Fuerte: Siempre se ejecuta_x000a__x000a_Moderado: Algunas veces_x000a__x000a_Débil: No se ejecuta " sqref="AN6:AO6" xr:uid="{00000000-0002-0000-0300-000002000000}"/>
    <dataValidation allowBlank="1" showInputMessage="1" showErrorMessage="1" prompt="Fuerte: Calificación entre 96 y 100_x000a__x000a_Moderado: Calificación entre 86 y 95_x000a__x000a_Débil: Calificación entre 0 y 85" sqref="AM6 AX6" xr:uid="{00000000-0002-0000-0300-000003000000}"/>
    <dataValidation allowBlank="1" showInputMessage="1" showErrorMessage="1" prompt="- Confiable (15)_x000a__x000a_- No Confiable (0)_x000a_" sqref="AF6:AG6" xr:uid="{00000000-0002-0000-0300-000004000000}"/>
    <dataValidation allowBlank="1" showInputMessage="1" showErrorMessage="1" prompt="- Prevenir (15)_x000a__x000a_- Detectar (10)_x000a__x000a_- No es un Control (0)" sqref="AD6:AE6" xr:uid="{00000000-0002-0000-0300-000005000000}"/>
    <dataValidation allowBlank="1" showInputMessage="1" showErrorMessage="1" prompt="- Oportuna (15)_x000a__x000a_- Inoportuna (0)_x000a_" sqref="AB6:AC6" xr:uid="{00000000-0002-0000-0300-000006000000}"/>
    <dataValidation allowBlank="1" showInputMessage="1" showErrorMessage="1" prompt="- Asignado (15)_x000a__x000a_- No Asignado (0)" sqref="X6:Y6" xr:uid="{00000000-0002-0000-0300-000007000000}"/>
    <dataValidation allowBlank="1" showInputMessage="1" showErrorMessage="1" prompt="Preventivo: Diseñados para evitar un evento no deseado en el momento que se produce, es decir intenta evitar la ocurrencia_x000a__x000a_Detectivos: Diseñados para identificar un evento o resultado no previsto después de que se haya producido, es decir corregir " sqref="W6" xr:uid="{00000000-0002-0000-0300-000008000000}"/>
    <dataValidation allowBlank="1" showInputMessage="1" showErrorMessage="1" prompt="Completa (10)_x000a__x000a_Incompleta (5)_x000a__x000a_No esxiste (0)" sqref="AJ6:AK6" xr:uid="{00000000-0002-0000-0300-000009000000}"/>
    <dataValidation allowBlank="1" showInputMessage="1" showErrorMessage="1" prompt="- Se investigan y se resuelven Oportunamente (15)_x000a__x000a_- No se investigan y resuelven Oportunamente (0)_x000a_" sqref="AH6:AI6" xr:uid="{00000000-0002-0000-0300-00000A000000}"/>
    <dataValidation allowBlank="1" showInputMessage="1" showErrorMessage="1" prompt="- Adecuado (15)_x000a__x000a_- Inadecuado (0)_x000a_" sqref="Z6:AA6" xr:uid="{00000000-0002-0000-0300-00000B000000}"/>
    <dataValidation allowBlank="1" showInputMessage="1" showErrorMessage="1" prompt="Promedio entre el diseño Total de Control y Total Solidez Individual " sqref="BA6" xr:uid="{00000000-0002-0000-0300-00000C000000}"/>
    <dataValidation allowBlank="1" showInputMessage="1" showErrorMessage="1" prompt="Fuerte+Fuerte=Fuerte_x000a_Fuerte+Moderado=Moderado_x000a_Fuerte+Débil=Débil_x000a_Moderado+Fuerte=Moderado_x000a_Moderado+Moderado=Moderado_x000a_Moderado+Débil=Débil_x000a_Débil+Fuerte=Débil_x000a_Débil+Moderado=Débil_x000a_Débil+Débil=Débil" sqref="AY6" xr:uid="{00000000-0002-0000-0300-00000D000000}"/>
    <dataValidation allowBlank="1" showInputMessage="1" showErrorMessage="1" prompt="Si el resultado de las calificaciones del control o promedio en el diseño de los controles, está por debajo de 96%, se debe establecer un plan de acción que permita tener un control bien diseñado" sqref="AL6 AW6" xr:uid="{00000000-0002-0000-0300-00000E000000}"/>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N6:P6" xr:uid="{00000000-0002-0000-0300-00000F000000}"/>
    <dataValidation allowBlank="1" showInputMessage="1" showErrorMessage="1" prompt="Casi Seguro (5): Se espera que evento ocurra en la mayoría _x000a_Probable (4): Es viable que el evento ocurra en la mayoría_x000a_Posible (3): Puede ocurrir en algún momento. Últimos 2 años_x000a_Improbable (2): Puede Ocurrir en algún momento. Últimos 5 años_x000a_Rara Vez (1)" sqref="M6" xr:uid="{00000000-0002-0000-0300-000010000000}"/>
    <dataValidation type="list" allowBlank="1" showInputMessage="1" showErrorMessage="1" sqref="V205:V366" xr:uid="{00000000-0002-0000-0300-000011000000}">
      <formula1>$H$13:$H$366</formula1>
    </dataValidation>
    <dataValidation type="list" allowBlank="1" showInputMessage="1" showErrorMessage="1" sqref="V31:V36" xr:uid="{00000000-0002-0000-0300-000012000000}">
      <formula1>$H$31:$H$36</formula1>
    </dataValidation>
    <dataValidation type="list" allowBlank="1" showInputMessage="1" showErrorMessage="1" sqref="V37:V42" xr:uid="{00000000-0002-0000-0300-000013000000}">
      <formula1>$H$37:$H$42</formula1>
    </dataValidation>
    <dataValidation type="list" allowBlank="1" showInputMessage="1" showErrorMessage="1" sqref="V43:V48" xr:uid="{00000000-0002-0000-0300-000014000000}">
      <formula1>$H$43:$H$48</formula1>
    </dataValidation>
    <dataValidation type="list" allowBlank="1" showInputMessage="1" showErrorMessage="1" sqref="V49:V54" xr:uid="{00000000-0002-0000-0300-000015000000}">
      <formula1>$H$49:$H$54</formula1>
    </dataValidation>
    <dataValidation type="list" allowBlank="1" showInputMessage="1" showErrorMessage="1" sqref="V55:V60" xr:uid="{00000000-0002-0000-0300-000016000000}">
      <formula1>$H$55:$H$60</formula1>
    </dataValidation>
    <dataValidation type="list" allowBlank="1" showInputMessage="1" showErrorMessage="1" sqref="V61:V66" xr:uid="{00000000-0002-0000-0300-000017000000}">
      <formula1>$H$61:$H$66</formula1>
    </dataValidation>
    <dataValidation type="list" allowBlank="1" showInputMessage="1" showErrorMessage="1" sqref="V67:V72" xr:uid="{00000000-0002-0000-0300-000018000000}">
      <formula1>$H$67:$H$72</formula1>
    </dataValidation>
    <dataValidation type="list" allowBlank="1" showInputMessage="1" showErrorMessage="1" sqref="V73:V78" xr:uid="{00000000-0002-0000-0300-000019000000}">
      <formula1>$H$73:$H$78</formula1>
    </dataValidation>
    <dataValidation type="list" allowBlank="1" showInputMessage="1" showErrorMessage="1" sqref="V79:V84" xr:uid="{00000000-0002-0000-0300-00001A000000}">
      <formula1>$H$79:$H$84</formula1>
    </dataValidation>
    <dataValidation type="list" allowBlank="1" showInputMessage="1" showErrorMessage="1" sqref="V85:V90" xr:uid="{00000000-0002-0000-0300-00001B000000}">
      <formula1>$H$85:$H$90</formula1>
    </dataValidation>
    <dataValidation type="list" allowBlank="1" showInputMessage="1" showErrorMessage="1" sqref="V91:V96" xr:uid="{00000000-0002-0000-0300-00001C000000}">
      <formula1>$H$91:$H$96</formula1>
    </dataValidation>
    <dataValidation type="list" allowBlank="1" showInputMessage="1" showErrorMessage="1" sqref="V97:V102" xr:uid="{00000000-0002-0000-0300-00001D000000}">
      <formula1>$H$97:$H$102</formula1>
    </dataValidation>
    <dataValidation type="list" allowBlank="1" showInputMessage="1" showErrorMessage="1" sqref="V103:V108" xr:uid="{00000000-0002-0000-0300-00001E000000}">
      <formula1>$H$103:$H$108</formula1>
    </dataValidation>
    <dataValidation type="list" allowBlank="1" showInputMessage="1" showErrorMessage="1" sqref="V109:V114" xr:uid="{00000000-0002-0000-0300-00001F000000}">
      <formula1>$H$109:$H$114</formula1>
    </dataValidation>
    <dataValidation type="list" allowBlank="1" showInputMessage="1" showErrorMessage="1" sqref="V115:V120" xr:uid="{00000000-0002-0000-0300-000020000000}">
      <formula1>$H$115:$H$120</formula1>
    </dataValidation>
    <dataValidation type="list" allowBlank="1" showInputMessage="1" showErrorMessage="1" sqref="V121:V126" xr:uid="{00000000-0002-0000-0300-000021000000}">
      <formula1>$H$121:$H$126</formula1>
    </dataValidation>
    <dataValidation type="list" allowBlank="1" showInputMessage="1" showErrorMessage="1" sqref="V127:V132" xr:uid="{00000000-0002-0000-0300-000022000000}">
      <formula1>$H$127:$H$132</formula1>
    </dataValidation>
    <dataValidation type="list" allowBlank="1" showInputMessage="1" showErrorMessage="1" sqref="V133:V138" xr:uid="{00000000-0002-0000-0300-000023000000}">
      <formula1>$H$133:$H$138</formula1>
    </dataValidation>
    <dataValidation type="list" allowBlank="1" showInputMessage="1" showErrorMessage="1" sqref="V139:V144" xr:uid="{00000000-0002-0000-0300-000024000000}">
      <formula1>$H$139:$H$144</formula1>
    </dataValidation>
    <dataValidation type="list" allowBlank="1" showInputMessage="1" showErrorMessage="1" sqref="V145:V150" xr:uid="{00000000-0002-0000-0300-000025000000}">
      <formula1>$H$145:$H$150</formula1>
    </dataValidation>
    <dataValidation type="list" allowBlank="1" showInputMessage="1" showErrorMessage="1" sqref="V151:V156" xr:uid="{00000000-0002-0000-0300-000026000000}">
      <formula1>$H$151:$H$156</formula1>
    </dataValidation>
    <dataValidation type="list" allowBlank="1" showInputMessage="1" showErrorMessage="1" sqref="V157:V162" xr:uid="{00000000-0002-0000-0300-000027000000}">
      <formula1>$H$157:$H$162</formula1>
    </dataValidation>
    <dataValidation type="list" allowBlank="1" showInputMessage="1" showErrorMessage="1" sqref="V163:V168" xr:uid="{00000000-0002-0000-0300-000028000000}">
      <formula1>$H$163:$H$168</formula1>
    </dataValidation>
    <dataValidation type="list" allowBlank="1" showInputMessage="1" showErrorMessage="1" sqref="V169:V174" xr:uid="{00000000-0002-0000-0300-000029000000}">
      <formula1>$H$169:$H$174</formula1>
    </dataValidation>
    <dataValidation type="list" allowBlank="1" showInputMessage="1" showErrorMessage="1" sqref="V175:V180" xr:uid="{00000000-0002-0000-0300-00002A000000}">
      <formula1>$H$175:$H$180</formula1>
    </dataValidation>
    <dataValidation type="list" allowBlank="1" showInputMessage="1" showErrorMessage="1" sqref="V181:V186" xr:uid="{00000000-0002-0000-0300-00002B000000}">
      <formula1>$H$181:$H$186</formula1>
    </dataValidation>
    <dataValidation type="list" allowBlank="1" showInputMessage="1" showErrorMessage="1" sqref="V187:V192" xr:uid="{00000000-0002-0000-0300-00002C000000}">
      <formula1>$H$187:$H$192</formula1>
    </dataValidation>
    <dataValidation type="list" allowBlank="1" showInputMessage="1" showErrorMessage="1" sqref="V193:V198" xr:uid="{00000000-0002-0000-0300-00002D000000}">
      <formula1>$H$193:$H$198</formula1>
    </dataValidation>
    <dataValidation type="list" allowBlank="1" showInputMessage="1" showErrorMessage="1" sqref="V199:V204" xr:uid="{00000000-0002-0000-0300-00002E000000}">
      <formula1>$H$199:$H$204</formula1>
    </dataValidation>
    <dataValidation type="list" allowBlank="1" showInputMessage="1" showErrorMessage="1" sqref="H7:H366" xr:uid="{00000000-0002-0000-0300-00002F000000}">
      <formula1>INDIRECT(E7)</formula1>
    </dataValidation>
    <dataValidation type="list" allowBlank="1" showInputMessage="1" showErrorMessage="1" sqref="G7:G18 J7:J366 T7:T366" xr:uid="{00000000-0002-0000-0300-000030000000}">
      <formula1>INDIRECT(F7)</formula1>
    </dataValidation>
    <dataValidation type="list" allowBlank="1" showInputMessage="1" showErrorMessage="1" sqref="V7:V30" xr:uid="{00000000-0002-0000-0300-000031000000}">
      <formula1>$J7:$J12</formula1>
    </dataValidation>
  </dataValidations>
  <printOptions horizontalCentered="1"/>
  <pageMargins left="0" right="0" top="0.35433070866141736" bottom="0.35433070866141736" header="0.31496062992125984" footer="0.31496062992125984"/>
  <pageSetup paperSize="5" scale="50" pageOrder="overThenDown" orientation="portrait"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300-000032000000}">
          <x14:formula1>
            <xm:f>Listados!$G$3:$G$7</xm:f>
          </x14:formula1>
          <xm:sqref>O7:O366</xm:sqref>
        </x14:dataValidation>
        <x14:dataValidation type="list" allowBlank="1" showInputMessage="1" showErrorMessage="1" xr:uid="{00000000-0002-0000-0300-000033000000}">
          <x14:formula1>
            <xm:f>Listados!$B$26:$B$27</xm:f>
          </x14:formula1>
          <xm:sqref>AB7:AB366 X7:X366 AD7:AD366 AF7:AF366 AH7:AH366 Z7:Z1048576</xm:sqref>
        </x14:dataValidation>
        <x14:dataValidation type="list" allowBlank="1" showInputMessage="1" showErrorMessage="1" xr:uid="{00000000-0002-0000-0300-000034000000}">
          <x14:formula1>
            <xm:f>Corrupción!$J$3:$J$7</xm:f>
          </x14:formula1>
          <xm:sqref>M7:M366</xm:sqref>
        </x14:dataValidation>
        <x14:dataValidation type="list" allowBlank="1" showInputMessage="1" showErrorMessage="1" xr:uid="{00000000-0002-0000-0300-000035000000}">
          <x14:formula1>
            <xm:f>Listados!$B$3:$B$20</xm:f>
          </x14:formula1>
          <xm:sqref>B7:B13 B19 B25 B31 B37 B43 B49 B55 B61 B67 B73 B79 B85 B91 B97 B103 B109 B115 B121 B127 B133 B139 B145 B151 B157 B163 B169 B175 B181 B187 B193 B199 B205 B211 B217 B223 B229 B235 B241 B247 B253 B259 B265 B271 B277 B283 B289 B295 B301 B307 B313 B319 B325 B331 B337 B343 B349 B355 B361</xm:sqref>
        </x14:dataValidation>
        <x14:dataValidation type="list" allowBlank="1" showInputMessage="1" showErrorMessage="1" xr:uid="{00000000-0002-0000-0300-000036000000}">
          <x14:formula1>
            <xm:f>Listados!$G$29:$G$30</xm:f>
          </x14:formula1>
          <xm:sqref>W7:W366</xm:sqref>
        </x14:dataValidation>
        <x14:dataValidation type="list" allowBlank="1" showInputMessage="1" showErrorMessage="1" xr:uid="{00000000-0002-0000-0300-000037000000}">
          <x14:formula1>
            <xm:f>Listados!$C$26:$C$28</xm:f>
          </x14:formula1>
          <xm:sqref>AJ7:AJ366</xm:sqref>
        </x14:dataValidation>
        <x14:dataValidation type="list" allowBlank="1" showInputMessage="1" showErrorMessage="1" xr:uid="{00000000-0002-0000-0300-000038000000}">
          <x14:formula1>
            <xm:f>Listados!$E$3:$E$4</xm:f>
          </x14:formula1>
          <xm:sqref>K7:K1048576</xm:sqref>
        </x14:dataValidation>
        <x14:dataValidation type="list" allowBlank="1" showInputMessage="1" showErrorMessage="1" xr:uid="{00000000-0002-0000-0300-000039000000}">
          <x14:formula1>
            <xm:f>'Seguridad Información'!$B$2:$B$8</xm:f>
          </x14:formula1>
          <xm:sqref>E7:E366</xm:sqref>
        </x14:dataValidation>
        <x14:dataValidation type="list" allowBlank="1" showInputMessage="1" showErrorMessage="1" xr:uid="{00000000-0002-0000-0300-00003A000000}">
          <x14:formula1>
            <xm:f>'Seguridad Información'!$B$13:$H$13</xm:f>
          </x14:formula1>
          <xm:sqref>F7 F13 F19 F25 F31 F37 F43 F49 F55 F61 F67 F73 F79 F85 F91 F97 F103 F109 F115 F121 F127 F133 F139 F145 F151 F157 F163 F169 F175 F181 F187 F193 F199 F205 F211 F217 F223 F229 F235 F241 F247 F253 F259 F265 F271 F277 F283 F289 F295 F301 F307 F313 F319 F325 F331 F337 F343 F349 F355 F361</xm:sqref>
        </x14:dataValidation>
        <x14:dataValidation type="list" allowBlank="1" showInputMessage="1" showErrorMessage="1" xr:uid="{00000000-0002-0000-0300-00003B000000}">
          <x14:formula1>
            <xm:f>'Seguridad Información'!$B$19:$H$19</xm:f>
          </x14:formula1>
          <xm:sqref>I7:I366</xm:sqref>
        </x14:dataValidation>
        <x14:dataValidation type="list" allowBlank="1" showInputMessage="1" showErrorMessage="1" xr:uid="{00000000-0002-0000-0300-00003C000000}">
          <x14:formula1>
            <xm:f>'Seguridad Información'!$B$44:$O$44</xm:f>
          </x14:formula1>
          <xm:sqref>S7:S366</xm:sqref>
        </x14:dataValidation>
        <x14:dataValidation type="list" allowBlank="1" showInputMessage="1" showErrorMessage="1" xr:uid="{00000000-0002-0000-0300-00003D000000}">
          <x14:formula1>
            <xm:f>'Seguridad Información'!$C$61:$C$63</xm:f>
          </x14:formula1>
          <xm:sqref>AN7:AN366</xm:sqref>
        </x14:dataValidation>
        <x14:dataValidation type="list" allowBlank="1" showInputMessage="1" showErrorMessage="1" xr:uid="{00000000-0002-0000-0300-00003E000000}">
          <x14:formula1>
            <xm:f>'Seguridad Información'!$E$61:$E$64</xm:f>
          </x14:formula1>
          <xm:sqref>AP7:AP366</xm:sqref>
        </x14:dataValidation>
        <x14:dataValidation type="list" allowBlank="1" showInputMessage="1" showErrorMessage="1" xr:uid="{00000000-0002-0000-0300-00003F000000}">
          <x14:formula1>
            <xm:f>'Seguridad Información'!$G$61:$G$64</xm:f>
          </x14:formula1>
          <xm:sqref>AR7:AR366</xm:sqref>
        </x14:dataValidation>
        <x14:dataValidation type="list" allowBlank="1" showInputMessage="1" showErrorMessage="1" xr:uid="{00000000-0002-0000-0300-000040000000}">
          <x14:formula1>
            <xm:f>'Seguridad Información'!$I$61:$I$65</xm:f>
          </x14:formula1>
          <xm:sqref>AT7:AT366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121"/>
  <sheetViews>
    <sheetView topLeftCell="A58" workbookViewId="0">
      <selection activeCell="A79" sqref="A79"/>
    </sheetView>
  </sheetViews>
  <sheetFormatPr baseColWidth="10" defaultColWidth="11.453125" defaultRowHeight="14.5"/>
  <cols>
    <col min="7" max="7" width="27" customWidth="1"/>
    <col min="8" max="8" width="16.26953125" customWidth="1"/>
    <col min="9" max="9" width="20.1796875" customWidth="1"/>
    <col min="11" max="11" width="76.453125" customWidth="1"/>
    <col min="12" max="12" width="39.1796875" customWidth="1"/>
  </cols>
  <sheetData>
    <row r="1" spans="2:13">
      <c r="B1" s="54" t="s">
        <v>608</v>
      </c>
      <c r="G1" s="840" t="s">
        <v>609</v>
      </c>
      <c r="H1" s="840"/>
      <c r="I1" s="840"/>
      <c r="J1" s="840"/>
      <c r="K1" s="840"/>
      <c r="L1" s="840"/>
      <c r="M1" s="840"/>
    </row>
    <row r="2" spans="2:13">
      <c r="B2" s="179" t="s">
        <v>610</v>
      </c>
      <c r="G2" s="179" t="s">
        <v>610</v>
      </c>
      <c r="H2" s="182" t="s">
        <v>611</v>
      </c>
      <c r="I2" s="179" t="s">
        <v>612</v>
      </c>
      <c r="J2" s="179" t="s">
        <v>613</v>
      </c>
      <c r="K2" s="179" t="s">
        <v>614</v>
      </c>
      <c r="L2" s="183" t="s">
        <v>615</v>
      </c>
      <c r="M2" s="179" t="s">
        <v>616</v>
      </c>
    </row>
    <row r="3" spans="2:13">
      <c r="B3" s="179" t="s">
        <v>616</v>
      </c>
      <c r="G3" s="179" t="s">
        <v>617</v>
      </c>
      <c r="H3" s="182" t="s">
        <v>618</v>
      </c>
      <c r="I3" s="179" t="s">
        <v>619</v>
      </c>
      <c r="J3" s="179" t="s">
        <v>620</v>
      </c>
      <c r="K3" s="179" t="s">
        <v>621</v>
      </c>
      <c r="L3" s="183" t="s">
        <v>622</v>
      </c>
      <c r="M3" s="179" t="s">
        <v>623</v>
      </c>
    </row>
    <row r="4" spans="2:13">
      <c r="B4" s="179" t="s">
        <v>614</v>
      </c>
      <c r="G4" s="179" t="s">
        <v>624</v>
      </c>
      <c r="I4" s="179" t="s">
        <v>625</v>
      </c>
      <c r="J4" s="179" t="s">
        <v>626</v>
      </c>
      <c r="K4" s="179" t="s">
        <v>627</v>
      </c>
      <c r="L4" s="183" t="s">
        <v>628</v>
      </c>
      <c r="M4" s="179" t="s">
        <v>629</v>
      </c>
    </row>
    <row r="5" spans="2:13">
      <c r="B5" s="179" t="s">
        <v>630</v>
      </c>
      <c r="G5" s="179" t="s">
        <v>631</v>
      </c>
      <c r="I5" s="179" t="s">
        <v>632</v>
      </c>
      <c r="J5" s="179" t="s">
        <v>633</v>
      </c>
      <c r="K5" s="179" t="s">
        <v>634</v>
      </c>
      <c r="L5" s="183" t="s">
        <v>635</v>
      </c>
      <c r="M5" s="179" t="s">
        <v>636</v>
      </c>
    </row>
    <row r="6" spans="2:13">
      <c r="B6" s="179" t="s">
        <v>637</v>
      </c>
      <c r="G6" s="179" t="s">
        <v>638</v>
      </c>
      <c r="J6" s="179" t="s">
        <v>639</v>
      </c>
      <c r="K6" s="179" t="s">
        <v>640</v>
      </c>
      <c r="L6" s="183" t="s">
        <v>641</v>
      </c>
      <c r="M6" s="179" t="s">
        <v>642</v>
      </c>
    </row>
    <row r="7" spans="2:13">
      <c r="B7" s="179" t="s">
        <v>643</v>
      </c>
      <c r="G7" s="179" t="s">
        <v>644</v>
      </c>
      <c r="J7" s="179" t="s">
        <v>645</v>
      </c>
      <c r="K7" s="179" t="s">
        <v>646</v>
      </c>
      <c r="L7" s="183" t="s">
        <v>647</v>
      </c>
      <c r="M7" s="179"/>
    </row>
    <row r="8" spans="2:13">
      <c r="B8" s="179" t="s">
        <v>648</v>
      </c>
      <c r="G8" s="179" t="s">
        <v>649</v>
      </c>
      <c r="J8" s="179" t="s">
        <v>650</v>
      </c>
      <c r="K8" s="179" t="s">
        <v>651</v>
      </c>
      <c r="L8" s="183" t="s">
        <v>652</v>
      </c>
      <c r="M8" s="179"/>
    </row>
    <row r="9" spans="2:13">
      <c r="G9" s="179" t="s">
        <v>653</v>
      </c>
      <c r="J9" s="179" t="s">
        <v>654</v>
      </c>
      <c r="K9" s="179" t="s">
        <v>655</v>
      </c>
      <c r="M9" s="179"/>
    </row>
    <row r="10" spans="2:13">
      <c r="J10" s="179" t="s">
        <v>656</v>
      </c>
      <c r="K10" s="179" t="s">
        <v>657</v>
      </c>
      <c r="M10" s="179"/>
    </row>
    <row r="11" spans="2:13">
      <c r="K11" s="179" t="s">
        <v>658</v>
      </c>
      <c r="M11" s="179"/>
    </row>
    <row r="12" spans="2:13">
      <c r="B12" s="841" t="s">
        <v>659</v>
      </c>
      <c r="C12" s="842"/>
      <c r="D12" s="842"/>
      <c r="E12" s="842"/>
      <c r="F12" s="842"/>
      <c r="G12" s="842"/>
      <c r="H12" s="843"/>
      <c r="K12" s="179" t="s">
        <v>660</v>
      </c>
    </row>
    <row r="13" spans="2:13">
      <c r="B13" s="179" t="s">
        <v>661</v>
      </c>
      <c r="C13" s="183" t="s">
        <v>662</v>
      </c>
      <c r="D13" s="179" t="s">
        <v>663</v>
      </c>
      <c r="E13" s="179" t="s">
        <v>664</v>
      </c>
      <c r="F13" s="179" t="s">
        <v>665</v>
      </c>
      <c r="G13" s="183" t="s">
        <v>666</v>
      </c>
      <c r="H13" s="179" t="s">
        <v>667</v>
      </c>
      <c r="K13" s="179" t="s">
        <v>668</v>
      </c>
    </row>
    <row r="14" spans="2:13">
      <c r="B14" s="179" t="s">
        <v>669</v>
      </c>
      <c r="C14" s="183" t="s">
        <v>670</v>
      </c>
      <c r="D14" s="179" t="s">
        <v>671</v>
      </c>
      <c r="E14" s="179" t="s">
        <v>672</v>
      </c>
      <c r="F14" s="179" t="s">
        <v>673</v>
      </c>
      <c r="G14" s="183" t="s">
        <v>674</v>
      </c>
      <c r="H14" s="179" t="s">
        <v>675</v>
      </c>
      <c r="K14" s="179" t="s">
        <v>676</v>
      </c>
    </row>
    <row r="15" spans="2:13">
      <c r="B15" s="179" t="s">
        <v>677</v>
      </c>
      <c r="D15" s="179" t="s">
        <v>678</v>
      </c>
      <c r="H15" s="179" t="s">
        <v>679</v>
      </c>
      <c r="K15" s="179" t="s">
        <v>680</v>
      </c>
    </row>
    <row r="16" spans="2:13">
      <c r="B16" s="179" t="s">
        <v>681</v>
      </c>
      <c r="D16" s="179" t="s">
        <v>682</v>
      </c>
      <c r="H16" s="179" t="s">
        <v>683</v>
      </c>
      <c r="K16" s="179" t="s">
        <v>684</v>
      </c>
    </row>
    <row r="17" spans="2:11">
      <c r="H17" s="179" t="s">
        <v>685</v>
      </c>
      <c r="K17" s="179" t="s">
        <v>686</v>
      </c>
    </row>
    <row r="18" spans="2:11">
      <c r="B18" s="841" t="s">
        <v>687</v>
      </c>
      <c r="C18" s="842"/>
      <c r="D18" s="842"/>
      <c r="E18" s="842"/>
      <c r="F18" s="842"/>
      <c r="G18" s="842"/>
      <c r="H18" s="843"/>
      <c r="K18" s="179" t="s">
        <v>688</v>
      </c>
    </row>
    <row r="19" spans="2:11">
      <c r="B19" s="184" t="s">
        <v>689</v>
      </c>
      <c r="C19" s="185" t="s">
        <v>690</v>
      </c>
      <c r="D19" s="184" t="s">
        <v>691</v>
      </c>
      <c r="E19" s="184" t="s">
        <v>692</v>
      </c>
      <c r="F19" s="184" t="s">
        <v>693</v>
      </c>
      <c r="G19" s="185" t="s">
        <v>694</v>
      </c>
      <c r="H19" s="184" t="s">
        <v>695</v>
      </c>
    </row>
    <row r="20" spans="2:11">
      <c r="B20" s="55" t="s">
        <v>696</v>
      </c>
      <c r="C20" s="55" t="s">
        <v>697</v>
      </c>
      <c r="D20" s="55" t="s">
        <v>698</v>
      </c>
      <c r="E20" s="55" t="s">
        <v>699</v>
      </c>
      <c r="F20" s="55" t="s">
        <v>700</v>
      </c>
      <c r="G20" s="55" t="s">
        <v>701</v>
      </c>
      <c r="H20" s="55" t="s">
        <v>702</v>
      </c>
    </row>
    <row r="21" spans="2:11">
      <c r="B21" s="55" t="s">
        <v>703</v>
      </c>
      <c r="C21" s="55" t="s">
        <v>704</v>
      </c>
      <c r="D21" s="55" t="s">
        <v>705</v>
      </c>
      <c r="E21" s="55" t="s">
        <v>706</v>
      </c>
      <c r="G21" s="55" t="s">
        <v>707</v>
      </c>
      <c r="H21" s="55" t="s">
        <v>708</v>
      </c>
    </row>
    <row r="22" spans="2:11">
      <c r="B22" s="55" t="s">
        <v>709</v>
      </c>
      <c r="C22" s="55" t="s">
        <v>710</v>
      </c>
      <c r="D22" s="55" t="s">
        <v>711</v>
      </c>
      <c r="E22" s="55" t="s">
        <v>712</v>
      </c>
      <c r="G22" s="55" t="s">
        <v>713</v>
      </c>
      <c r="H22" s="55" t="s">
        <v>714</v>
      </c>
    </row>
    <row r="23" spans="2:11">
      <c r="B23" s="55" t="s">
        <v>703</v>
      </c>
      <c r="C23" s="55" t="s">
        <v>715</v>
      </c>
      <c r="D23" s="55" t="s">
        <v>716</v>
      </c>
      <c r="E23" s="55" t="s">
        <v>717</v>
      </c>
      <c r="G23" s="55" t="s">
        <v>718</v>
      </c>
      <c r="H23" s="55" t="s">
        <v>719</v>
      </c>
    </row>
    <row r="24" spans="2:11">
      <c r="B24" s="55" t="s">
        <v>720</v>
      </c>
      <c r="C24" s="55" t="s">
        <v>721</v>
      </c>
      <c r="D24" s="55" t="s">
        <v>722</v>
      </c>
      <c r="E24" s="55" t="s">
        <v>723</v>
      </c>
      <c r="G24" s="55" t="s">
        <v>724</v>
      </c>
      <c r="H24" s="55" t="s">
        <v>725</v>
      </c>
    </row>
    <row r="25" spans="2:11">
      <c r="B25" s="55" t="s">
        <v>726</v>
      </c>
      <c r="D25" s="55" t="s">
        <v>727</v>
      </c>
      <c r="E25" s="55" t="s">
        <v>728</v>
      </c>
      <c r="G25" s="55" t="s">
        <v>729</v>
      </c>
      <c r="H25" s="55" t="s">
        <v>730</v>
      </c>
    </row>
    <row r="26" spans="2:11">
      <c r="B26" s="55" t="s">
        <v>731</v>
      </c>
      <c r="D26" s="55" t="s">
        <v>732</v>
      </c>
      <c r="E26" s="55" t="s">
        <v>733</v>
      </c>
      <c r="H26" s="55" t="s">
        <v>734</v>
      </c>
    </row>
    <row r="27" spans="2:11">
      <c r="B27" s="55" t="s">
        <v>735</v>
      </c>
      <c r="D27" s="55" t="s">
        <v>736</v>
      </c>
      <c r="E27" s="55" t="s">
        <v>737</v>
      </c>
      <c r="H27" s="55" t="s">
        <v>738</v>
      </c>
    </row>
    <row r="28" spans="2:11">
      <c r="B28" s="55" t="s">
        <v>739</v>
      </c>
      <c r="D28" s="55" t="s">
        <v>740</v>
      </c>
      <c r="E28" s="55" t="s">
        <v>741</v>
      </c>
      <c r="H28" s="55" t="s">
        <v>742</v>
      </c>
    </row>
    <row r="29" spans="2:11">
      <c r="B29" s="55" t="s">
        <v>743</v>
      </c>
      <c r="D29" s="55" t="s">
        <v>744</v>
      </c>
      <c r="E29" s="55" t="s">
        <v>745</v>
      </c>
      <c r="H29" s="55" t="s">
        <v>746</v>
      </c>
    </row>
    <row r="30" spans="2:11">
      <c r="B30" s="55" t="s">
        <v>747</v>
      </c>
      <c r="D30" s="55" t="s">
        <v>748</v>
      </c>
      <c r="E30" s="55" t="s">
        <v>749</v>
      </c>
      <c r="H30" s="55" t="s">
        <v>750</v>
      </c>
    </row>
    <row r="31" spans="2:11">
      <c r="B31" s="55" t="s">
        <v>751</v>
      </c>
      <c r="D31" s="55" t="s">
        <v>752</v>
      </c>
      <c r="E31" s="55" t="s">
        <v>753</v>
      </c>
      <c r="H31" s="55" t="s">
        <v>754</v>
      </c>
    </row>
    <row r="32" spans="2:11">
      <c r="B32" s="55" t="s">
        <v>755</v>
      </c>
      <c r="D32" s="55" t="s">
        <v>756</v>
      </c>
      <c r="E32" s="55" t="s">
        <v>757</v>
      </c>
      <c r="H32" s="55" t="s">
        <v>758</v>
      </c>
    </row>
    <row r="33" spans="2:15">
      <c r="D33" s="55" t="s">
        <v>759</v>
      </c>
      <c r="H33" s="55" t="s">
        <v>760</v>
      </c>
    </row>
    <row r="34" spans="2:15">
      <c r="H34" s="55" t="s">
        <v>761</v>
      </c>
    </row>
    <row r="35" spans="2:15">
      <c r="H35" s="55" t="s">
        <v>762</v>
      </c>
    </row>
    <row r="36" spans="2:15">
      <c r="H36" s="55" t="s">
        <v>763</v>
      </c>
    </row>
    <row r="37" spans="2:15">
      <c r="H37" s="55" t="s">
        <v>764</v>
      </c>
    </row>
    <row r="38" spans="2:15">
      <c r="H38" s="55" t="s">
        <v>645</v>
      </c>
    </row>
    <row r="39" spans="2:15">
      <c r="H39" s="55" t="s">
        <v>765</v>
      </c>
    </row>
    <row r="40" spans="2:15">
      <c r="H40" s="55" t="s">
        <v>766</v>
      </c>
    </row>
    <row r="41" spans="2:15">
      <c r="H41" s="55" t="s">
        <v>767</v>
      </c>
    </row>
    <row r="44" spans="2:15">
      <c r="B44" s="79" t="s">
        <v>768</v>
      </c>
      <c r="C44" s="79" t="s">
        <v>769</v>
      </c>
      <c r="D44" s="79" t="s">
        <v>770</v>
      </c>
      <c r="E44" s="79" t="s">
        <v>771</v>
      </c>
      <c r="F44" s="79" t="s">
        <v>772</v>
      </c>
      <c r="G44" s="79" t="s">
        <v>773</v>
      </c>
      <c r="H44" s="79" t="s">
        <v>774</v>
      </c>
      <c r="I44" s="79" t="s">
        <v>775</v>
      </c>
      <c r="J44" s="79" t="s">
        <v>776</v>
      </c>
      <c r="K44" s="79" t="s">
        <v>777</v>
      </c>
      <c r="L44" s="79" t="s">
        <v>778</v>
      </c>
      <c r="M44" s="79" t="s">
        <v>779</v>
      </c>
      <c r="N44" s="79" t="s">
        <v>780</v>
      </c>
      <c r="O44" s="79" t="s">
        <v>781</v>
      </c>
    </row>
    <row r="45" spans="2:15">
      <c r="B45" s="78" t="s">
        <v>782</v>
      </c>
      <c r="C45" s="78" t="s">
        <v>783</v>
      </c>
      <c r="D45" s="78" t="s">
        <v>784</v>
      </c>
      <c r="E45" s="78" t="s">
        <v>785</v>
      </c>
      <c r="F45" s="78" t="s">
        <v>786</v>
      </c>
      <c r="G45" s="78" t="s">
        <v>787</v>
      </c>
      <c r="H45" s="78" t="s">
        <v>788</v>
      </c>
      <c r="I45" s="78" t="s">
        <v>789</v>
      </c>
      <c r="J45" s="78" t="s">
        <v>790</v>
      </c>
      <c r="K45" s="78" t="s">
        <v>791</v>
      </c>
      <c r="L45" s="78" t="s">
        <v>792</v>
      </c>
      <c r="M45" s="78" t="s">
        <v>793</v>
      </c>
      <c r="N45" s="78" t="s">
        <v>794</v>
      </c>
      <c r="O45" s="78" t="s">
        <v>795</v>
      </c>
    </row>
    <row r="46" spans="2:15">
      <c r="B46" s="78" t="s">
        <v>796</v>
      </c>
      <c r="C46" s="78" t="s">
        <v>797</v>
      </c>
      <c r="D46" s="78" t="s">
        <v>798</v>
      </c>
      <c r="E46" s="78" t="s">
        <v>799</v>
      </c>
      <c r="F46" s="78" t="s">
        <v>800</v>
      </c>
      <c r="G46" s="78" t="s">
        <v>801</v>
      </c>
      <c r="H46" s="78" t="s">
        <v>802</v>
      </c>
      <c r="I46" s="78" t="s">
        <v>803</v>
      </c>
      <c r="J46" s="78" t="s">
        <v>804</v>
      </c>
      <c r="K46" s="78" t="s">
        <v>805</v>
      </c>
      <c r="L46" s="78" t="s">
        <v>806</v>
      </c>
      <c r="M46" s="78" t="s">
        <v>807</v>
      </c>
      <c r="N46" s="78" t="s">
        <v>808</v>
      </c>
      <c r="O46" s="78" t="s">
        <v>809</v>
      </c>
    </row>
    <row r="47" spans="2:15">
      <c r="C47" s="78" t="s">
        <v>810</v>
      </c>
      <c r="D47" s="78" t="s">
        <v>811</v>
      </c>
      <c r="E47" s="78" t="s">
        <v>812</v>
      </c>
      <c r="F47" s="78" t="s">
        <v>813</v>
      </c>
      <c r="H47" s="78" t="s">
        <v>814</v>
      </c>
      <c r="I47" s="78" t="s">
        <v>815</v>
      </c>
      <c r="J47" s="78" t="s">
        <v>816</v>
      </c>
      <c r="K47" s="78" t="s">
        <v>817</v>
      </c>
      <c r="L47" s="78" t="s">
        <v>818</v>
      </c>
      <c r="M47" s="78" t="s">
        <v>819</v>
      </c>
      <c r="N47" s="78" t="s">
        <v>820</v>
      </c>
      <c r="O47" s="78" t="s">
        <v>821</v>
      </c>
    </row>
    <row r="48" spans="2:15">
      <c r="B48" s="78"/>
      <c r="C48" s="78" t="s">
        <v>822</v>
      </c>
      <c r="D48" s="78" t="s">
        <v>823</v>
      </c>
      <c r="E48" s="78" t="s">
        <v>824</v>
      </c>
      <c r="F48" s="78" t="s">
        <v>825</v>
      </c>
      <c r="H48" s="78" t="s">
        <v>826</v>
      </c>
      <c r="I48" s="78" t="s">
        <v>827</v>
      </c>
      <c r="J48" s="78" t="s">
        <v>828</v>
      </c>
      <c r="K48" s="78" t="s">
        <v>829</v>
      </c>
      <c r="L48" s="78" t="s">
        <v>830</v>
      </c>
      <c r="M48" s="78" t="s">
        <v>831</v>
      </c>
      <c r="N48" s="78" t="s">
        <v>832</v>
      </c>
      <c r="O48" s="78" t="s">
        <v>833</v>
      </c>
    </row>
    <row r="49" spans="2:15">
      <c r="C49" s="78" t="s">
        <v>834</v>
      </c>
      <c r="D49" s="78" t="s">
        <v>835</v>
      </c>
      <c r="E49" s="78" t="s">
        <v>836</v>
      </c>
      <c r="F49" s="78" t="s">
        <v>837</v>
      </c>
      <c r="H49" s="78" t="s">
        <v>838</v>
      </c>
      <c r="I49" s="78" t="s">
        <v>839</v>
      </c>
      <c r="J49" s="78" t="s">
        <v>840</v>
      </c>
      <c r="K49" s="78" t="s">
        <v>841</v>
      </c>
      <c r="L49" s="78" t="s">
        <v>842</v>
      </c>
      <c r="M49" s="78" t="s">
        <v>843</v>
      </c>
      <c r="N49" s="78"/>
      <c r="O49" s="78" t="s">
        <v>844</v>
      </c>
    </row>
    <row r="50" spans="2:15">
      <c r="C50" s="78" t="s">
        <v>845</v>
      </c>
      <c r="D50" s="78" t="s">
        <v>846</v>
      </c>
      <c r="E50" s="78" t="s">
        <v>847</v>
      </c>
      <c r="F50" s="78" t="s">
        <v>848</v>
      </c>
      <c r="H50" s="78" t="s">
        <v>849</v>
      </c>
      <c r="I50" s="78" t="s">
        <v>850</v>
      </c>
      <c r="J50" s="78" t="s">
        <v>851</v>
      </c>
      <c r="K50" s="78" t="s">
        <v>852</v>
      </c>
      <c r="M50" s="78" t="s">
        <v>853</v>
      </c>
      <c r="O50" s="78" t="s">
        <v>854</v>
      </c>
    </row>
    <row r="51" spans="2:15">
      <c r="C51" s="78" t="s">
        <v>855</v>
      </c>
      <c r="E51" s="78" t="s">
        <v>856</v>
      </c>
      <c r="F51" s="78" t="s">
        <v>857</v>
      </c>
      <c r="H51" s="78" t="s">
        <v>858</v>
      </c>
      <c r="I51" s="78" t="s">
        <v>859</v>
      </c>
      <c r="J51" s="78" t="s">
        <v>860</v>
      </c>
      <c r="K51" s="78" t="s">
        <v>861</v>
      </c>
      <c r="M51" s="78" t="s">
        <v>862</v>
      </c>
      <c r="O51" s="78" t="s">
        <v>863</v>
      </c>
    </row>
    <row r="52" spans="2:15">
      <c r="D52" s="78"/>
      <c r="E52" s="78" t="s">
        <v>864</v>
      </c>
      <c r="F52" s="78" t="s">
        <v>865</v>
      </c>
      <c r="H52" s="78" t="s">
        <v>866</v>
      </c>
      <c r="I52" s="78" t="s">
        <v>867</v>
      </c>
      <c r="K52" s="78" t="s">
        <v>868</v>
      </c>
      <c r="O52" s="78" t="s">
        <v>869</v>
      </c>
    </row>
    <row r="53" spans="2:15">
      <c r="E53" s="78" t="s">
        <v>870</v>
      </c>
      <c r="F53" s="78" t="s">
        <v>871</v>
      </c>
      <c r="H53" s="78" t="s">
        <v>872</v>
      </c>
      <c r="I53" s="78" t="s">
        <v>873</v>
      </c>
      <c r="K53" s="78" t="s">
        <v>874</v>
      </c>
    </row>
    <row r="54" spans="2:15">
      <c r="E54" s="78"/>
      <c r="F54" s="78" t="s">
        <v>875</v>
      </c>
      <c r="H54" s="78" t="s">
        <v>876</v>
      </c>
      <c r="I54" s="78" t="s">
        <v>877</v>
      </c>
      <c r="K54" s="78" t="s">
        <v>878</v>
      </c>
    </row>
    <row r="55" spans="2:15">
      <c r="F55" s="78" t="s">
        <v>879</v>
      </c>
      <c r="H55" s="78" t="s">
        <v>880</v>
      </c>
      <c r="I55" s="78" t="s">
        <v>881</v>
      </c>
      <c r="K55" s="78" t="s">
        <v>882</v>
      </c>
    </row>
    <row r="56" spans="2:15">
      <c r="F56" s="78" t="s">
        <v>883</v>
      </c>
      <c r="H56" s="78" t="s">
        <v>884</v>
      </c>
      <c r="I56" s="78" t="s">
        <v>885</v>
      </c>
      <c r="K56" s="78" t="s">
        <v>886</v>
      </c>
    </row>
    <row r="57" spans="2:15">
      <c r="F57" s="78" t="s">
        <v>887</v>
      </c>
      <c r="H57" s="78" t="s">
        <v>888</v>
      </c>
      <c r="I57" s="78" t="s">
        <v>889</v>
      </c>
      <c r="K57" s="78" t="s">
        <v>890</v>
      </c>
    </row>
    <row r="58" spans="2:15">
      <c r="F58" s="78" t="s">
        <v>891</v>
      </c>
      <c r="H58" s="78" t="s">
        <v>892</v>
      </c>
      <c r="I58" s="78" t="s">
        <v>893</v>
      </c>
    </row>
    <row r="59" spans="2:15">
      <c r="B59" s="78"/>
      <c r="H59" s="78" t="s">
        <v>894</v>
      </c>
      <c r="I59" s="78"/>
      <c r="K59" s="78"/>
    </row>
    <row r="60" spans="2:15">
      <c r="C60" s="80" t="s">
        <v>895</v>
      </c>
      <c r="E60" s="80" t="s">
        <v>896</v>
      </c>
      <c r="G60" t="s">
        <v>897</v>
      </c>
      <c r="I60" s="80" t="s">
        <v>898</v>
      </c>
    </row>
    <row r="61" spans="2:15">
      <c r="C61" t="s">
        <v>899</v>
      </c>
      <c r="D61" s="84">
        <v>100</v>
      </c>
      <c r="E61" s="80" t="s">
        <v>900</v>
      </c>
      <c r="F61">
        <v>100</v>
      </c>
      <c r="G61" t="s">
        <v>901</v>
      </c>
      <c r="H61">
        <v>100</v>
      </c>
      <c r="I61" s="80" t="s">
        <v>902</v>
      </c>
      <c r="J61" s="85">
        <v>100</v>
      </c>
      <c r="K61" s="78"/>
    </row>
    <row r="62" spans="2:15">
      <c r="C62" s="80" t="s">
        <v>903</v>
      </c>
      <c r="D62" s="84">
        <v>60</v>
      </c>
      <c r="E62" s="80" t="s">
        <v>904</v>
      </c>
      <c r="F62">
        <v>60</v>
      </c>
      <c r="G62" s="80" t="s">
        <v>905</v>
      </c>
      <c r="H62">
        <v>60</v>
      </c>
      <c r="I62" s="78" t="s">
        <v>906</v>
      </c>
      <c r="J62" s="85">
        <v>60</v>
      </c>
    </row>
    <row r="63" spans="2:15">
      <c r="C63" t="s">
        <v>907</v>
      </c>
      <c r="D63" s="84">
        <v>20</v>
      </c>
      <c r="E63" s="80" t="s">
        <v>908</v>
      </c>
      <c r="F63" s="78">
        <v>40</v>
      </c>
      <c r="G63" s="80" t="s">
        <v>909</v>
      </c>
      <c r="H63" s="78">
        <v>40</v>
      </c>
      <c r="I63" s="78" t="s">
        <v>910</v>
      </c>
      <c r="J63" s="85">
        <v>20</v>
      </c>
    </row>
    <row r="64" spans="2:15">
      <c r="E64" s="80" t="s">
        <v>911</v>
      </c>
      <c r="F64">
        <v>0</v>
      </c>
      <c r="G64" t="s">
        <v>912</v>
      </c>
      <c r="H64">
        <v>0</v>
      </c>
      <c r="I64" s="78" t="s">
        <v>913</v>
      </c>
      <c r="J64" s="85">
        <v>0</v>
      </c>
    </row>
    <row r="65" spans="2:11">
      <c r="I65" s="78" t="s">
        <v>914</v>
      </c>
      <c r="J65" t="s">
        <v>915</v>
      </c>
    </row>
    <row r="68" spans="2:11">
      <c r="F68" s="78"/>
    </row>
    <row r="70" spans="2:11">
      <c r="B70" s="78"/>
      <c r="K70" s="79"/>
    </row>
    <row r="71" spans="2:11">
      <c r="B71" s="78"/>
    </row>
    <row r="86" spans="2:11">
      <c r="B86" s="79"/>
    </row>
    <row r="87" spans="2:11">
      <c r="F87" s="78" t="s">
        <v>916</v>
      </c>
      <c r="K87" s="79"/>
    </row>
    <row r="110" spans="6:6">
      <c r="F110" s="78"/>
    </row>
    <row r="121" spans="6:6">
      <c r="F121" s="78"/>
    </row>
  </sheetData>
  <sheetProtection algorithmName="SHA-512" hashValue="ir0+NBvpf7lUGCyLq83BfIlGTJJDDh7Zqx/6H1WQLKHvds4O7oC70fmP58jV8I3NJf/sDem/sbCBokcKmezj7w==" saltValue="SVpnOM6QaQMttH5ezqZ/Tw==" spinCount="100000" sheet="1" objects="1" scenarios="1"/>
  <sortState xmlns:xlrd2="http://schemas.microsoft.com/office/spreadsheetml/2017/richdata2" ref="C20:D93">
    <sortCondition ref="D20:D93"/>
  </sortState>
  <mergeCells count="3">
    <mergeCell ref="G1:M1"/>
    <mergeCell ref="B12:H12"/>
    <mergeCell ref="B18:H1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9"/>
  <sheetViews>
    <sheetView zoomScale="120" zoomScaleNormal="120" workbookViewId="0">
      <selection activeCell="E20" sqref="E20"/>
    </sheetView>
  </sheetViews>
  <sheetFormatPr baseColWidth="10" defaultColWidth="11.453125" defaultRowHeight="14.5"/>
  <cols>
    <col min="2" max="2" width="2.1796875" bestFit="1" customWidth="1"/>
    <col min="3" max="3" width="14.453125" bestFit="1" customWidth="1"/>
    <col min="4" max="5" width="39.1796875" customWidth="1"/>
  </cols>
  <sheetData>
    <row r="2" spans="2:5" ht="15" thickBot="1"/>
    <row r="3" spans="2:5">
      <c r="B3" s="844" t="s">
        <v>917</v>
      </c>
      <c r="C3" s="845"/>
      <c r="D3" s="845"/>
      <c r="E3" s="846"/>
    </row>
    <row r="4" spans="2:5" ht="15" thickBot="1">
      <c r="B4" s="847" t="s">
        <v>918</v>
      </c>
      <c r="C4" s="848"/>
      <c r="D4" s="119" t="s">
        <v>919</v>
      </c>
      <c r="E4" s="86" t="s">
        <v>920</v>
      </c>
    </row>
    <row r="5" spans="2:5" ht="27">
      <c r="B5" s="87">
        <v>5</v>
      </c>
      <c r="C5" s="88" t="s">
        <v>63</v>
      </c>
      <c r="D5" s="89" t="s">
        <v>921</v>
      </c>
      <c r="E5" s="90" t="s">
        <v>922</v>
      </c>
    </row>
    <row r="6" spans="2:5" ht="27">
      <c r="B6" s="91">
        <v>4</v>
      </c>
      <c r="C6" s="186" t="s">
        <v>53</v>
      </c>
      <c r="D6" s="187" t="s">
        <v>923</v>
      </c>
      <c r="E6" s="92" t="s">
        <v>924</v>
      </c>
    </row>
    <row r="7" spans="2:5" ht="27">
      <c r="B7" s="91">
        <v>3</v>
      </c>
      <c r="C7" s="186" t="s">
        <v>44</v>
      </c>
      <c r="D7" s="187" t="s">
        <v>925</v>
      </c>
      <c r="E7" s="92" t="s">
        <v>926</v>
      </c>
    </row>
    <row r="8" spans="2:5" ht="27">
      <c r="B8" s="91">
        <v>2</v>
      </c>
      <c r="C8" s="186" t="s">
        <v>31</v>
      </c>
      <c r="D8" s="187" t="s">
        <v>927</v>
      </c>
      <c r="E8" s="92" t="s">
        <v>928</v>
      </c>
    </row>
    <row r="9" spans="2:5" ht="27.5" thickBot="1">
      <c r="B9" s="93">
        <v>1</v>
      </c>
      <c r="C9" s="94" t="s">
        <v>929</v>
      </c>
      <c r="D9" s="95" t="s">
        <v>930</v>
      </c>
      <c r="E9" s="96" t="s">
        <v>931</v>
      </c>
    </row>
  </sheetData>
  <sheetProtection algorithmName="SHA-512" hashValue="YCjIHHY7/gVy63gS5EtK4CtmItvBNGmFK2Wt4gKOD19AXGdL6Mo68oy+vEZdfdIQH038XPdtUKqShEMZCwvZ2A==" saltValue="NqEw9QCXL6YpHoOPUIbsjQ==" spinCount="100000" sheet="1" objects="1" scenarios="1"/>
  <mergeCells count="2">
    <mergeCell ref="B3:E3"/>
    <mergeCell ref="B4:C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3:I16"/>
  <sheetViews>
    <sheetView topLeftCell="B1" workbookViewId="0">
      <selection activeCell="G7" sqref="G7"/>
    </sheetView>
  </sheetViews>
  <sheetFormatPr baseColWidth="10" defaultColWidth="11.453125" defaultRowHeight="14.5"/>
  <cols>
    <col min="3" max="3" width="24.81640625" bestFit="1" customWidth="1"/>
    <col min="4" max="4" width="53.26953125" bestFit="1" customWidth="1"/>
    <col min="5" max="5" width="45.54296875" bestFit="1" customWidth="1"/>
    <col min="6" max="6" width="30.54296875" customWidth="1"/>
    <col min="7" max="7" width="18.7265625" customWidth="1"/>
  </cols>
  <sheetData>
    <row r="3" spans="3:9" ht="15" thickBot="1"/>
    <row r="4" spans="3:9">
      <c r="C4" s="849" t="s">
        <v>932</v>
      </c>
      <c r="D4" s="850"/>
      <c r="E4" s="850"/>
      <c r="F4" s="850"/>
      <c r="G4" s="851"/>
    </row>
    <row r="5" spans="3:9" ht="15" thickBot="1">
      <c r="C5" s="852"/>
      <c r="D5" s="853"/>
      <c r="E5" s="853"/>
      <c r="F5" s="853"/>
      <c r="G5" s="854"/>
    </row>
    <row r="6" spans="3:9">
      <c r="C6" s="25"/>
      <c r="D6" s="25"/>
      <c r="E6" s="25"/>
      <c r="F6" s="25"/>
      <c r="G6" s="25"/>
    </row>
    <row r="7" spans="3:9">
      <c r="C7" t="s">
        <v>919</v>
      </c>
      <c r="D7" t="s">
        <v>933</v>
      </c>
      <c r="E7" t="s">
        <v>934</v>
      </c>
      <c r="F7" t="s">
        <v>935</v>
      </c>
      <c r="G7" t="s">
        <v>936</v>
      </c>
    </row>
    <row r="8" spans="3:9" ht="70.5" customHeight="1">
      <c r="C8" s="24"/>
      <c r="D8" s="24" t="s">
        <v>937</v>
      </c>
      <c r="E8" s="24" t="s">
        <v>938</v>
      </c>
      <c r="F8" s="24" t="s">
        <v>939</v>
      </c>
      <c r="G8" s="24" t="s">
        <v>940</v>
      </c>
    </row>
    <row r="9" spans="3:9" ht="58">
      <c r="C9" s="24"/>
      <c r="D9" s="24" t="s">
        <v>559</v>
      </c>
    </row>
    <row r="10" spans="3:9">
      <c r="C10" s="24"/>
    </row>
    <row r="11" spans="3:9">
      <c r="C11" s="24"/>
    </row>
    <row r="16" spans="3:9">
      <c r="I16" s="24"/>
    </row>
  </sheetData>
  <mergeCells count="1">
    <mergeCell ref="C4:G5"/>
  </mergeCells>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P28"/>
  <sheetViews>
    <sheetView topLeftCell="J1" workbookViewId="0">
      <selection activeCell="S7" sqref="S7"/>
    </sheetView>
  </sheetViews>
  <sheetFormatPr baseColWidth="10" defaultColWidth="11.453125" defaultRowHeight="14.5"/>
  <cols>
    <col min="2" max="2" width="13.81640625" customWidth="1"/>
    <col min="3" max="3" width="11.453125" customWidth="1"/>
    <col min="4" max="4" width="13.26953125" customWidth="1"/>
    <col min="5" max="5" width="12.26953125" bestFit="1" customWidth="1"/>
    <col min="6" max="6" width="23.54296875" customWidth="1"/>
    <col min="7" max="7" width="24.81640625" customWidth="1"/>
    <col min="8" max="8" width="17.7265625" customWidth="1"/>
    <col min="10" max="10" width="17.1796875" customWidth="1"/>
    <col min="11" max="11" width="19.54296875" customWidth="1"/>
    <col min="12" max="12" width="37.26953125" customWidth="1"/>
    <col min="13" max="13" width="21.453125" customWidth="1"/>
  </cols>
  <sheetData>
    <row r="2" spans="2:16">
      <c r="B2" s="10" t="s">
        <v>1</v>
      </c>
      <c r="C2" s="10" t="s">
        <v>1</v>
      </c>
      <c r="D2" s="10" t="s">
        <v>3</v>
      </c>
      <c r="E2" s="10" t="s">
        <v>5</v>
      </c>
      <c r="F2" s="10" t="s">
        <v>6</v>
      </c>
      <c r="G2" s="10" t="s">
        <v>7</v>
      </c>
      <c r="H2" s="10" t="s">
        <v>8</v>
      </c>
      <c r="J2" s="10" t="s">
        <v>5</v>
      </c>
      <c r="K2" s="10" t="s">
        <v>6</v>
      </c>
      <c r="L2" s="10" t="s">
        <v>9</v>
      </c>
      <c r="O2" s="10" t="s">
        <v>10</v>
      </c>
    </row>
    <row r="3" spans="2:16">
      <c r="B3" t="s">
        <v>941</v>
      </c>
      <c r="C3" t="s">
        <v>942</v>
      </c>
      <c r="D3" t="s">
        <v>943</v>
      </c>
      <c r="E3" s="11" t="s">
        <v>17</v>
      </c>
      <c r="F3" s="11" t="s">
        <v>18</v>
      </c>
      <c r="G3" t="s">
        <v>19</v>
      </c>
      <c r="H3" t="s">
        <v>20</v>
      </c>
      <c r="J3" s="11" t="s">
        <v>21</v>
      </c>
      <c r="K3" s="11" t="s">
        <v>18</v>
      </c>
      <c r="L3" t="s">
        <v>22</v>
      </c>
      <c r="M3" t="s">
        <v>23</v>
      </c>
      <c r="O3" t="s">
        <v>944</v>
      </c>
      <c r="P3" t="s">
        <v>24</v>
      </c>
    </row>
    <row r="4" spans="2:16">
      <c r="B4" t="s">
        <v>945</v>
      </c>
      <c r="C4" t="s">
        <v>946</v>
      </c>
      <c r="D4" t="s">
        <v>52</v>
      </c>
      <c r="E4" s="11" t="s">
        <v>31</v>
      </c>
      <c r="F4" s="11" t="s">
        <v>32</v>
      </c>
      <c r="G4" s="11" t="s">
        <v>33</v>
      </c>
      <c r="H4" t="s">
        <v>34</v>
      </c>
      <c r="J4" s="11" t="s">
        <v>31</v>
      </c>
      <c r="K4" s="11" t="s">
        <v>32</v>
      </c>
      <c r="L4" t="s">
        <v>35</v>
      </c>
      <c r="M4" t="s">
        <v>23</v>
      </c>
      <c r="O4" t="s">
        <v>36</v>
      </c>
      <c r="P4" t="s">
        <v>37</v>
      </c>
    </row>
    <row r="5" spans="2:16">
      <c r="B5" t="s">
        <v>947</v>
      </c>
      <c r="C5" t="s">
        <v>948</v>
      </c>
      <c r="D5" t="s">
        <v>69</v>
      </c>
      <c r="E5" s="11" t="s">
        <v>42</v>
      </c>
      <c r="F5" s="11" t="s">
        <v>36</v>
      </c>
      <c r="G5" t="s">
        <v>43</v>
      </c>
      <c r="J5" s="11" t="s">
        <v>44</v>
      </c>
      <c r="K5" s="11" t="s">
        <v>36</v>
      </c>
      <c r="L5" t="s">
        <v>45</v>
      </c>
      <c r="M5" t="s">
        <v>36</v>
      </c>
      <c r="O5" t="s">
        <v>46</v>
      </c>
      <c r="P5" t="s">
        <v>47</v>
      </c>
    </row>
    <row r="6" spans="2:16">
      <c r="B6" t="s">
        <v>949</v>
      </c>
      <c r="C6" t="s">
        <v>949</v>
      </c>
      <c r="D6" t="s">
        <v>62</v>
      </c>
      <c r="E6" s="11" t="s">
        <v>53</v>
      </c>
      <c r="F6" s="11" t="s">
        <v>54</v>
      </c>
      <c r="G6" t="s">
        <v>55</v>
      </c>
      <c r="J6" s="11" t="s">
        <v>53</v>
      </c>
      <c r="K6" s="11" t="s">
        <v>54</v>
      </c>
      <c r="L6" t="s">
        <v>56</v>
      </c>
      <c r="M6" t="s">
        <v>46</v>
      </c>
      <c r="O6" t="s">
        <v>57</v>
      </c>
      <c r="P6" t="s">
        <v>58</v>
      </c>
    </row>
    <row r="7" spans="2:16">
      <c r="B7" t="s">
        <v>950</v>
      </c>
      <c r="C7" t="s">
        <v>951</v>
      </c>
      <c r="D7" t="s">
        <v>15</v>
      </c>
      <c r="E7" s="11" t="s">
        <v>63</v>
      </c>
      <c r="F7" s="11" t="s">
        <v>64</v>
      </c>
      <c r="G7" s="11"/>
      <c r="J7" s="11" t="s">
        <v>63</v>
      </c>
      <c r="K7" s="11" t="s">
        <v>64</v>
      </c>
      <c r="L7" t="s">
        <v>65</v>
      </c>
      <c r="M7" t="s">
        <v>57</v>
      </c>
    </row>
    <row r="8" spans="2:16">
      <c r="B8" t="s">
        <v>951</v>
      </c>
      <c r="C8" t="s">
        <v>950</v>
      </c>
      <c r="D8" t="s">
        <v>41</v>
      </c>
      <c r="L8" t="s">
        <v>70</v>
      </c>
      <c r="M8" t="s">
        <v>23</v>
      </c>
    </row>
    <row r="9" spans="2:16">
      <c r="B9" t="s">
        <v>946</v>
      </c>
      <c r="C9" t="s">
        <v>945</v>
      </c>
      <c r="D9" t="s">
        <v>29</v>
      </c>
      <c r="L9" t="s">
        <v>73</v>
      </c>
      <c r="M9" t="s">
        <v>23</v>
      </c>
    </row>
    <row r="10" spans="2:16">
      <c r="B10" t="s">
        <v>952</v>
      </c>
      <c r="C10" t="s">
        <v>953</v>
      </c>
      <c r="L10" t="s">
        <v>76</v>
      </c>
      <c r="M10" t="s">
        <v>36</v>
      </c>
    </row>
    <row r="11" spans="2:16">
      <c r="B11" t="s">
        <v>942</v>
      </c>
      <c r="C11" t="s">
        <v>92</v>
      </c>
      <c r="L11" t="s">
        <v>78</v>
      </c>
      <c r="M11" t="s">
        <v>46</v>
      </c>
    </row>
    <row r="12" spans="2:16">
      <c r="B12" t="s">
        <v>954</v>
      </c>
      <c r="C12" t="s">
        <v>954</v>
      </c>
      <c r="L12" t="s">
        <v>81</v>
      </c>
      <c r="M12" t="s">
        <v>57</v>
      </c>
    </row>
    <row r="13" spans="2:16">
      <c r="B13" t="s">
        <v>955</v>
      </c>
      <c r="C13" t="s">
        <v>956</v>
      </c>
      <c r="L13" t="s">
        <v>85</v>
      </c>
      <c r="M13" t="s">
        <v>23</v>
      </c>
    </row>
    <row r="14" spans="2:16">
      <c r="B14" t="s">
        <v>948</v>
      </c>
      <c r="C14" t="s">
        <v>98</v>
      </c>
      <c r="L14" t="s">
        <v>88</v>
      </c>
      <c r="M14" t="s">
        <v>36</v>
      </c>
    </row>
    <row r="15" spans="2:16">
      <c r="B15" t="s">
        <v>956</v>
      </c>
      <c r="C15" t="s">
        <v>86</v>
      </c>
      <c r="L15" t="s">
        <v>91</v>
      </c>
      <c r="M15" t="s">
        <v>46</v>
      </c>
    </row>
    <row r="16" spans="2:16">
      <c r="B16" t="s">
        <v>957</v>
      </c>
      <c r="C16" t="s">
        <v>958</v>
      </c>
      <c r="L16" t="s">
        <v>94</v>
      </c>
      <c r="M16" t="s">
        <v>57</v>
      </c>
    </row>
    <row r="17" spans="2:13">
      <c r="B17" t="s">
        <v>98</v>
      </c>
      <c r="C17" t="s">
        <v>959</v>
      </c>
      <c r="L17" t="s">
        <v>97</v>
      </c>
      <c r="M17" t="s">
        <v>57</v>
      </c>
    </row>
    <row r="18" spans="2:13">
      <c r="B18" t="s">
        <v>960</v>
      </c>
      <c r="C18" t="s">
        <v>960</v>
      </c>
      <c r="L18" t="s">
        <v>100</v>
      </c>
      <c r="M18" t="s">
        <v>36</v>
      </c>
    </row>
    <row r="19" spans="2:13">
      <c r="B19" t="s">
        <v>959</v>
      </c>
      <c r="C19" t="s">
        <v>947</v>
      </c>
      <c r="L19" t="s">
        <v>103</v>
      </c>
      <c r="M19" t="s">
        <v>46</v>
      </c>
    </row>
    <row r="20" spans="2:13">
      <c r="B20" t="s">
        <v>92</v>
      </c>
      <c r="C20" t="s">
        <v>957</v>
      </c>
      <c r="L20" t="s">
        <v>106</v>
      </c>
      <c r="M20" t="s">
        <v>46</v>
      </c>
    </row>
    <row r="21" spans="2:13">
      <c r="B21" t="s">
        <v>86</v>
      </c>
      <c r="C21" t="s">
        <v>952</v>
      </c>
      <c r="L21" t="s">
        <v>107</v>
      </c>
      <c r="M21" t="s">
        <v>57</v>
      </c>
    </row>
    <row r="22" spans="2:13">
      <c r="B22" t="s">
        <v>958</v>
      </c>
      <c r="C22" t="s">
        <v>955</v>
      </c>
      <c r="L22" t="s">
        <v>108</v>
      </c>
      <c r="M22" t="s">
        <v>57</v>
      </c>
    </row>
    <row r="23" spans="2:13">
      <c r="B23" t="s">
        <v>953</v>
      </c>
      <c r="C23" t="s">
        <v>941</v>
      </c>
      <c r="L23" t="s">
        <v>109</v>
      </c>
      <c r="M23" t="s">
        <v>46</v>
      </c>
    </row>
    <row r="24" spans="2:13">
      <c r="L24" t="s">
        <v>110</v>
      </c>
      <c r="M24" t="s">
        <v>46</v>
      </c>
    </row>
    <row r="25" spans="2:13">
      <c r="B25" s="10" t="s">
        <v>111</v>
      </c>
      <c r="D25" s="10" t="s">
        <v>113</v>
      </c>
      <c r="F25" s="10" t="s">
        <v>114</v>
      </c>
      <c r="L25" t="s">
        <v>115</v>
      </c>
      <c r="M25" t="s">
        <v>57</v>
      </c>
    </row>
    <row r="26" spans="2:13">
      <c r="B26" t="s">
        <v>116</v>
      </c>
      <c r="D26" t="s">
        <v>25</v>
      </c>
      <c r="F26" t="s">
        <v>20</v>
      </c>
      <c r="L26" t="s">
        <v>119</v>
      </c>
      <c r="M26" t="s">
        <v>57</v>
      </c>
    </row>
    <row r="27" spans="2:13">
      <c r="B27" t="s">
        <v>120</v>
      </c>
      <c r="D27" t="s">
        <v>36</v>
      </c>
      <c r="F27" t="s">
        <v>123</v>
      </c>
      <c r="L27" t="s">
        <v>124</v>
      </c>
      <c r="M27" t="s">
        <v>57</v>
      </c>
    </row>
    <row r="28" spans="2:13">
      <c r="D28" t="s">
        <v>48</v>
      </c>
    </row>
  </sheetData>
  <sheetProtection algorithmName="SHA-512" hashValue="NPKkYXgavLSzkSgJQaknIt700GWt4nvdm9YyMBFp1mKE7NScaYdnftH9NCEixnWAF+neYR5N8Xd7AULtGR6wIw==" saltValue="W5Hho+MnLKu7AHwbVgeFAg==" spinCount="100000" sheet="1" objects="1" scenarios="1"/>
  <customSheetViews>
    <customSheetView guid="{82BC0C9B-70E2-44EC-8408-64CC9B36E280}" state="hidden" topLeftCell="C1">
      <selection activeCell="F23" sqref="F23"/>
      <pageMargins left="0" right="0" top="0" bottom="0" header="0" footer="0"/>
      <pageSetup orientation="portrait" r:id="rId1"/>
    </customSheetView>
    <customSheetView guid="{795C8354-6623-430F-B16F-866AD45BC174}" state="hidden" topLeftCell="C1">
      <selection activeCell="F23" sqref="F23"/>
      <pageMargins left="0" right="0" top="0" bottom="0" header="0" footer="0"/>
      <pageSetup orientation="portrait" r:id="rId2"/>
    </customSheetView>
    <customSheetView guid="{F8FDF2EC-A9AD-41AC-8138-AA3657B53E6D}" state="hidden" topLeftCell="C1">
      <selection activeCell="F23" sqref="F23"/>
      <pageMargins left="0" right="0" top="0" bottom="0" header="0" footer="0"/>
      <pageSetup orientation="portrait" r:id="rId3"/>
    </customSheetView>
  </customSheetViews>
  <pageMargins left="0.7" right="0.7" top="0.75" bottom="0.75" header="0.3" footer="0.3"/>
  <pageSetup orientation="portrait"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5:F25"/>
  <sheetViews>
    <sheetView topLeftCell="A4" workbookViewId="0">
      <selection activeCell="E7" sqref="E7:E15"/>
    </sheetView>
  </sheetViews>
  <sheetFormatPr baseColWidth="10" defaultColWidth="11.453125" defaultRowHeight="14.5"/>
  <cols>
    <col min="4" max="4" width="47.7265625" bestFit="1" customWidth="1"/>
    <col min="5" max="5" width="54.1796875" customWidth="1"/>
    <col min="6" max="6" width="27.1796875" customWidth="1"/>
  </cols>
  <sheetData>
    <row r="5" spans="3:6" ht="14.25" customHeight="1" thickBot="1"/>
    <row r="6" spans="3:6" ht="15" thickBot="1">
      <c r="C6" s="31" t="s">
        <v>961</v>
      </c>
      <c r="D6" s="32" t="s">
        <v>962</v>
      </c>
      <c r="E6" s="33" t="s">
        <v>963</v>
      </c>
    </row>
    <row r="7" spans="3:6" ht="25">
      <c r="C7" s="34" t="s">
        <v>964</v>
      </c>
      <c r="D7" s="188" t="s">
        <v>965</v>
      </c>
      <c r="E7" s="197" t="s">
        <v>1011</v>
      </c>
      <c r="F7" s="105" t="s">
        <v>560</v>
      </c>
    </row>
    <row r="8" spans="3:6" ht="29">
      <c r="C8" s="35" t="s">
        <v>966</v>
      </c>
      <c r="D8" s="189" t="s">
        <v>967</v>
      </c>
      <c r="E8" s="36" t="s">
        <v>1012</v>
      </c>
    </row>
    <row r="9" spans="3:6" ht="29">
      <c r="C9" s="37" t="s">
        <v>968</v>
      </c>
      <c r="D9" s="190" t="s">
        <v>969</v>
      </c>
      <c r="E9" s="38" t="s">
        <v>1013</v>
      </c>
    </row>
    <row r="10" spans="3:6" ht="58">
      <c r="C10" s="39" t="s">
        <v>970</v>
      </c>
      <c r="D10" s="191" t="s">
        <v>971</v>
      </c>
      <c r="E10" s="40" t="s">
        <v>1014</v>
      </c>
    </row>
    <row r="11" spans="3:6" ht="43.5">
      <c r="C11" s="41" t="s">
        <v>972</v>
      </c>
      <c r="D11" s="192" t="s">
        <v>973</v>
      </c>
      <c r="E11" s="42" t="s">
        <v>1015</v>
      </c>
    </row>
    <row r="12" spans="3:6" ht="29">
      <c r="C12" s="43" t="s">
        <v>974</v>
      </c>
      <c r="D12" s="193" t="s">
        <v>975</v>
      </c>
      <c r="E12" s="44" t="s">
        <v>1016</v>
      </c>
    </row>
    <row r="13" spans="3:6">
      <c r="C13" s="45" t="s">
        <v>976</v>
      </c>
      <c r="D13" s="167" t="s">
        <v>977</v>
      </c>
      <c r="E13" s="46" t="s">
        <v>1017</v>
      </c>
    </row>
    <row r="14" spans="3:6">
      <c r="C14" s="45" t="s">
        <v>978</v>
      </c>
      <c r="D14" s="167" t="s">
        <v>979</v>
      </c>
      <c r="E14" s="46" t="s">
        <v>980</v>
      </c>
    </row>
    <row r="15" spans="3:6" ht="29.5" thickBot="1">
      <c r="C15" s="47" t="s">
        <v>981</v>
      </c>
      <c r="D15" s="48" t="s">
        <v>982</v>
      </c>
      <c r="E15" s="49" t="s">
        <v>983</v>
      </c>
    </row>
    <row r="16" spans="3:6" ht="15" thickBot="1"/>
    <row r="17" spans="3:6" ht="15" thickBot="1">
      <c r="C17" s="855" t="s">
        <v>984</v>
      </c>
      <c r="D17" s="856"/>
      <c r="E17" s="857"/>
    </row>
    <row r="18" spans="3:6" ht="15" thickBot="1"/>
    <row r="19" spans="3:6">
      <c r="C19" s="858" t="str">
        <f>+CONCATENATE(E7," ",E8," ",E9," ",E10," ",E11," ",E12)</f>
        <v>El Coordinador del Grupo de Control Disciplinario Interno cada vez que suscribe las actuaciones. revisa las decisiones tomadas sobre los trámites o procesos de competencia del Grupo, a partir del conocimiento del mismo, lo establecido en el régimen disciplinario vigente y la reunión con el abogado que lleva el proceso para conocer los detalles y detrminar la pertinencia de la actuación. En caso de errores formales se ajusta la redacción del documento y en caso de inconsistencias en lo sustancial, se procede a subsanar la falla y se labora la nueva decisión. Carpetas compartidas, expdientes fisicos, sistema de gestión disciplinaria Gecodi y correos electronicos.</v>
      </c>
      <c r="D19" s="859"/>
      <c r="E19" s="860"/>
      <c r="F19" t="s">
        <v>562</v>
      </c>
    </row>
    <row r="20" spans="3:6">
      <c r="C20" s="861"/>
      <c r="D20" s="862"/>
      <c r="E20" s="863"/>
    </row>
    <row r="21" spans="3:6">
      <c r="C21" s="861"/>
      <c r="D21" s="862"/>
      <c r="E21" s="863"/>
      <c r="F21" t="s">
        <v>563</v>
      </c>
    </row>
    <row r="22" spans="3:6">
      <c r="C22" s="861"/>
      <c r="D22" s="862"/>
      <c r="E22" s="863"/>
      <c r="F22" t="s">
        <v>564</v>
      </c>
    </row>
    <row r="23" spans="3:6">
      <c r="C23" s="861"/>
      <c r="D23" s="862"/>
      <c r="E23" s="863"/>
    </row>
    <row r="24" spans="3:6">
      <c r="C24" s="861"/>
      <c r="D24" s="862"/>
      <c r="E24" s="863"/>
    </row>
    <row r="25" spans="3:6" ht="87" customHeight="1" thickBot="1">
      <c r="C25" s="864"/>
      <c r="D25" s="865"/>
      <c r="E25" s="866"/>
    </row>
  </sheetData>
  <mergeCells count="2">
    <mergeCell ref="C17:E17"/>
    <mergeCell ref="C19:E2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'\C:\Users\DIGITAL EXITO\Downloads\[Corrupción (1).xlsx]Hoja2'!#REF!</xm:f>
          </x14:formula1>
          <xm:sqref>E13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1:AJ20"/>
  <sheetViews>
    <sheetView showGridLines="0" topLeftCell="A3" workbookViewId="0">
      <selection activeCell="U6" sqref="U6:X6"/>
    </sheetView>
  </sheetViews>
  <sheetFormatPr baseColWidth="10" defaultColWidth="9.26953125" defaultRowHeight="14.5"/>
  <cols>
    <col min="1" max="5" width="3.7265625" customWidth="1"/>
    <col min="6" max="6" width="1.26953125" customWidth="1"/>
    <col min="7" max="36" width="3.7265625" customWidth="1"/>
  </cols>
  <sheetData>
    <row r="1" spans="3:36" ht="18" customHeight="1"/>
    <row r="4" spans="3:36" ht="51" customHeight="1">
      <c r="C4" s="1"/>
      <c r="D4" s="1"/>
      <c r="E4" s="876" t="s">
        <v>985</v>
      </c>
      <c r="F4" s="1"/>
      <c r="G4" s="868" t="s">
        <v>986</v>
      </c>
      <c r="H4" s="868"/>
      <c r="I4" s="868"/>
      <c r="J4" s="868"/>
      <c r="K4" s="868"/>
      <c r="L4" s="868"/>
      <c r="M4" s="869"/>
      <c r="N4" s="869"/>
      <c r="O4" s="869"/>
      <c r="P4" s="869"/>
      <c r="Q4" s="869"/>
      <c r="R4" s="869"/>
      <c r="S4" s="869"/>
      <c r="T4" s="869"/>
      <c r="U4" s="867"/>
      <c r="V4" s="867"/>
      <c r="W4" s="867"/>
      <c r="X4" s="867"/>
      <c r="Y4" s="867">
        <v>3</v>
      </c>
      <c r="Z4" s="867"/>
      <c r="AA4" s="867"/>
      <c r="AB4" s="867"/>
      <c r="AC4" s="867"/>
      <c r="AD4" s="867"/>
      <c r="AE4" s="867"/>
      <c r="AF4" s="867"/>
      <c r="AG4" s="1"/>
      <c r="AH4" s="1"/>
      <c r="AI4" s="1"/>
      <c r="AJ4" s="2"/>
    </row>
    <row r="5" spans="3:36" ht="51" customHeight="1">
      <c r="C5" s="1"/>
      <c r="D5" s="1"/>
      <c r="E5" s="876"/>
      <c r="F5" s="1"/>
      <c r="G5" s="868" t="s">
        <v>987</v>
      </c>
      <c r="H5" s="868"/>
      <c r="I5" s="868"/>
      <c r="J5" s="868"/>
      <c r="K5" s="868"/>
      <c r="L5" s="868"/>
      <c r="M5" s="870">
        <v>2</v>
      </c>
      <c r="N5" s="870"/>
      <c r="O5" s="870"/>
      <c r="P5" s="870"/>
      <c r="Q5" s="869"/>
      <c r="R5" s="869"/>
      <c r="S5" s="869"/>
      <c r="T5" s="869"/>
      <c r="U5" s="869">
        <v>7</v>
      </c>
      <c r="V5" s="869"/>
      <c r="W5" s="869"/>
      <c r="X5" s="869"/>
      <c r="Y5" s="867">
        <v>5</v>
      </c>
      <c r="Z5" s="867"/>
      <c r="AA5" s="867"/>
      <c r="AB5" s="867"/>
      <c r="AC5" s="867"/>
      <c r="AD5" s="867"/>
      <c r="AE5" s="867"/>
      <c r="AF5" s="867"/>
      <c r="AG5" s="1"/>
      <c r="AH5" s="1"/>
      <c r="AI5" s="1"/>
      <c r="AJ5" s="2"/>
    </row>
    <row r="6" spans="3:36" ht="51" customHeight="1">
      <c r="C6" s="1"/>
      <c r="D6" s="1"/>
      <c r="E6" s="876"/>
      <c r="F6" s="1"/>
      <c r="G6" s="868" t="s">
        <v>988</v>
      </c>
      <c r="H6" s="868"/>
      <c r="I6" s="868"/>
      <c r="J6" s="868"/>
      <c r="K6" s="868"/>
      <c r="L6" s="868"/>
      <c r="M6" s="875">
        <v>1</v>
      </c>
      <c r="N6" s="875"/>
      <c r="O6" s="875"/>
      <c r="P6" s="875"/>
      <c r="Q6" s="870">
        <v>1</v>
      </c>
      <c r="R6" s="870"/>
      <c r="S6" s="870"/>
      <c r="T6" s="870"/>
      <c r="U6" s="869">
        <v>3</v>
      </c>
      <c r="V6" s="869"/>
      <c r="W6" s="869"/>
      <c r="X6" s="869"/>
      <c r="Y6" s="867">
        <v>2</v>
      </c>
      <c r="Z6" s="867"/>
      <c r="AA6" s="867"/>
      <c r="AB6" s="867"/>
      <c r="AC6" s="867">
        <v>2</v>
      </c>
      <c r="AD6" s="867"/>
      <c r="AE6" s="867"/>
      <c r="AF6" s="867"/>
      <c r="AG6" s="1"/>
      <c r="AH6" s="1"/>
      <c r="AI6" s="1"/>
      <c r="AJ6" s="3"/>
    </row>
    <row r="7" spans="3:36" ht="51" customHeight="1">
      <c r="C7" s="1"/>
      <c r="D7" s="1"/>
      <c r="E7" s="876"/>
      <c r="F7" s="1"/>
      <c r="G7" s="868" t="s">
        <v>989</v>
      </c>
      <c r="H7" s="868"/>
      <c r="I7" s="868"/>
      <c r="J7" s="868"/>
      <c r="K7" s="868"/>
      <c r="L7" s="868"/>
      <c r="M7" s="875"/>
      <c r="N7" s="875"/>
      <c r="O7" s="875"/>
      <c r="P7" s="875"/>
      <c r="Q7" s="875">
        <v>6</v>
      </c>
      <c r="R7" s="875"/>
      <c r="S7" s="875"/>
      <c r="T7" s="875"/>
      <c r="U7" s="870">
        <v>2</v>
      </c>
      <c r="V7" s="870"/>
      <c r="W7" s="870"/>
      <c r="X7" s="870"/>
      <c r="Y7" s="869">
        <v>1</v>
      </c>
      <c r="Z7" s="869"/>
      <c r="AA7" s="869"/>
      <c r="AB7" s="869"/>
      <c r="AC7" s="867"/>
      <c r="AD7" s="867"/>
      <c r="AE7" s="867"/>
      <c r="AF7" s="867"/>
      <c r="AG7" s="1"/>
      <c r="AH7" s="1"/>
      <c r="AI7" s="1"/>
      <c r="AJ7" s="3" t="s">
        <v>944</v>
      </c>
    </row>
    <row r="8" spans="3:36" ht="51" customHeight="1">
      <c r="C8" s="1"/>
      <c r="D8" s="1"/>
      <c r="E8" s="876"/>
      <c r="F8" s="1"/>
      <c r="G8" s="868" t="s">
        <v>990</v>
      </c>
      <c r="H8" s="868"/>
      <c r="I8" s="868"/>
      <c r="J8" s="868"/>
      <c r="K8" s="868"/>
      <c r="L8" s="868"/>
      <c r="M8" s="875">
        <v>2</v>
      </c>
      <c r="N8" s="875"/>
      <c r="O8" s="875"/>
      <c r="P8" s="875"/>
      <c r="Q8" s="875">
        <v>3</v>
      </c>
      <c r="R8" s="875"/>
      <c r="S8" s="875"/>
      <c r="T8" s="875"/>
      <c r="U8" s="870">
        <v>3</v>
      </c>
      <c r="V8" s="870"/>
      <c r="W8" s="870"/>
      <c r="X8" s="870"/>
      <c r="Y8" s="869">
        <v>3</v>
      </c>
      <c r="Z8" s="869"/>
      <c r="AA8" s="869"/>
      <c r="AB8" s="869"/>
      <c r="AC8" s="867">
        <v>6</v>
      </c>
      <c r="AD8" s="867"/>
      <c r="AE8" s="867"/>
      <c r="AF8" s="867"/>
      <c r="AG8" s="1"/>
      <c r="AH8" s="1"/>
      <c r="AI8" s="1"/>
      <c r="AJ8" s="2"/>
    </row>
    <row r="9" spans="3:36" ht="45" customHeight="1">
      <c r="C9" s="1"/>
      <c r="D9" s="1"/>
      <c r="E9" s="876"/>
      <c r="F9" s="1"/>
      <c r="G9" s="874"/>
      <c r="H9" s="874"/>
      <c r="I9" s="874"/>
      <c r="J9" s="874"/>
      <c r="K9" s="874"/>
      <c r="L9" s="874"/>
      <c r="M9" s="868" t="s">
        <v>991</v>
      </c>
      <c r="N9" s="868"/>
      <c r="O9" s="868"/>
      <c r="P9" s="868"/>
      <c r="Q9" s="868" t="s">
        <v>992</v>
      </c>
      <c r="R9" s="868"/>
      <c r="S9" s="868"/>
      <c r="T9" s="868"/>
      <c r="U9" s="868" t="s">
        <v>993</v>
      </c>
      <c r="V9" s="868"/>
      <c r="W9" s="868"/>
      <c r="X9" s="868"/>
      <c r="Y9" s="868" t="s">
        <v>994</v>
      </c>
      <c r="Z9" s="868"/>
      <c r="AA9" s="868"/>
      <c r="AB9" s="868"/>
      <c r="AC9" s="868" t="s">
        <v>995</v>
      </c>
      <c r="AD9" s="868"/>
      <c r="AE9" s="868"/>
      <c r="AF9" s="868"/>
      <c r="AG9" s="1"/>
      <c r="AH9" s="1"/>
      <c r="AI9" s="1"/>
      <c r="AJ9" s="3" t="s">
        <v>996</v>
      </c>
    </row>
    <row r="10" spans="3:36" ht="11.25" customHeight="1">
      <c r="C10" s="1"/>
      <c r="D10" s="1"/>
      <c r="E10" s="1"/>
      <c r="F10" s="1"/>
      <c r="G10" s="13"/>
      <c r="H10" s="13"/>
      <c r="I10" s="13"/>
      <c r="J10" s="13"/>
      <c r="K10" s="13"/>
      <c r="L10" s="13"/>
      <c r="M10" s="12"/>
      <c r="N10" s="12"/>
      <c r="O10" s="12"/>
      <c r="P10" s="12"/>
      <c r="Q10" s="12"/>
      <c r="R10" s="12"/>
      <c r="S10" s="12"/>
      <c r="T10" s="12"/>
      <c r="U10" s="12"/>
      <c r="V10" s="12"/>
      <c r="W10" s="12"/>
      <c r="X10" s="12"/>
      <c r="Y10" s="12"/>
      <c r="Z10" s="12"/>
      <c r="AA10" s="12"/>
      <c r="AB10" s="12"/>
      <c r="AC10" s="12"/>
      <c r="AD10" s="12"/>
      <c r="AE10" s="12"/>
      <c r="AF10" s="12"/>
      <c r="AG10" s="1"/>
      <c r="AH10" s="1"/>
      <c r="AI10" s="1"/>
      <c r="AJ10" s="3"/>
    </row>
    <row r="11" spans="3:36" ht="20.25" customHeight="1">
      <c r="C11" s="1"/>
      <c r="D11" s="1"/>
      <c r="E11" s="1"/>
      <c r="F11" s="1"/>
      <c r="G11" s="873" t="s">
        <v>154</v>
      </c>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1"/>
      <c r="AH11" s="1"/>
      <c r="AI11" s="1"/>
      <c r="AJ11" s="2"/>
    </row>
    <row r="12" spans="3:36">
      <c r="C12" s="1"/>
      <c r="D12" s="1"/>
      <c r="E12" s="1"/>
      <c r="F12" s="1"/>
      <c r="G12" s="1"/>
      <c r="H12" s="1"/>
      <c r="I12" s="4"/>
      <c r="J12" s="5"/>
      <c r="K12" s="6"/>
      <c r="L12" s="7"/>
      <c r="M12" s="7"/>
      <c r="N12" s="6"/>
      <c r="O12" s="7"/>
      <c r="P12" s="7"/>
      <c r="Q12" s="6"/>
      <c r="R12" s="7"/>
      <c r="S12" s="7"/>
      <c r="T12" s="6"/>
      <c r="U12" s="7"/>
      <c r="V12" s="7"/>
      <c r="W12" s="7"/>
      <c r="X12" s="1"/>
      <c r="Y12" s="1"/>
      <c r="Z12" s="1"/>
      <c r="AA12" s="1"/>
      <c r="AB12" s="1"/>
      <c r="AC12" s="1"/>
      <c r="AD12" s="1"/>
      <c r="AE12" s="1"/>
      <c r="AF12" s="1"/>
      <c r="AG12" s="1"/>
      <c r="AH12" s="1"/>
      <c r="AI12" s="1"/>
      <c r="AJ12" s="1"/>
    </row>
    <row r="13" spans="3:36">
      <c r="C13" s="1"/>
      <c r="D13" s="1"/>
      <c r="E13" s="1"/>
      <c r="F13" s="1"/>
      <c r="G13" s="1"/>
      <c r="H13" s="1"/>
      <c r="I13" s="124"/>
      <c r="J13" s="1"/>
      <c r="K13" s="1"/>
      <c r="L13" s="1"/>
      <c r="M13" s="125" t="s">
        <v>997</v>
      </c>
      <c r="N13" s="126" t="s">
        <v>998</v>
      </c>
      <c r="O13" s="127"/>
      <c r="P13" s="8"/>
      <c r="Q13" s="128" t="s">
        <v>999</v>
      </c>
      <c r="R13" s="126" t="s">
        <v>1000</v>
      </c>
      <c r="S13" s="127"/>
      <c r="T13" s="8"/>
      <c r="U13" s="129" t="s">
        <v>1001</v>
      </c>
      <c r="V13" s="126" t="s">
        <v>1002</v>
      </c>
      <c r="W13" s="130"/>
      <c r="X13" s="8"/>
      <c r="Y13" s="131" t="s">
        <v>1003</v>
      </c>
      <c r="Z13" s="126" t="s">
        <v>1004</v>
      </c>
      <c r="AA13" s="8"/>
      <c r="AB13" s="1"/>
      <c r="AC13" s="1"/>
      <c r="AD13" s="1"/>
      <c r="AE13" s="1"/>
      <c r="AF13" s="1"/>
      <c r="AG13" s="1"/>
      <c r="AH13" s="1"/>
      <c r="AI13" s="1"/>
      <c r="AJ13" s="1"/>
    </row>
    <row r="14" spans="3:36">
      <c r="C14" s="1"/>
      <c r="D14" s="1"/>
      <c r="E14" s="1"/>
      <c r="F14" s="1"/>
      <c r="G14" s="1"/>
      <c r="H14" s="1"/>
      <c r="I14" s="132"/>
      <c r="J14" s="6"/>
      <c r="K14" s="5"/>
      <c r="L14" s="133"/>
      <c r="M14" s="132"/>
      <c r="N14" s="6"/>
      <c r="O14" s="132"/>
      <c r="P14" s="132"/>
      <c r="Q14" s="6"/>
      <c r="R14" s="132"/>
      <c r="S14" s="132"/>
      <c r="T14" s="6"/>
      <c r="U14" s="132"/>
      <c r="V14" s="132"/>
      <c r="W14" s="132"/>
      <c r="X14" s="1"/>
      <c r="Y14" s="1"/>
      <c r="Z14" s="1"/>
      <c r="AA14" s="1"/>
      <c r="AB14" s="1"/>
      <c r="AC14" s="1"/>
      <c r="AD14" s="1"/>
      <c r="AE14" s="1"/>
      <c r="AF14" s="1"/>
      <c r="AG14" s="1"/>
      <c r="AH14" s="1"/>
      <c r="AI14" s="1"/>
      <c r="AJ14" s="1"/>
    </row>
    <row r="15" spans="3:36">
      <c r="C15" s="872" t="s">
        <v>1005</v>
      </c>
      <c r="D15" s="872"/>
      <c r="E15" s="872"/>
      <c r="F15" s="872"/>
      <c r="G15" s="872"/>
      <c r="H15" s="872"/>
      <c r="I15" s="872"/>
      <c r="J15" s="872"/>
      <c r="K15" s="872"/>
      <c r="L15" s="872"/>
      <c r="M15" s="872"/>
      <c r="N15" s="872"/>
      <c r="O15" s="872"/>
      <c r="P15" s="872"/>
      <c r="Q15" s="872"/>
      <c r="R15" s="872"/>
      <c r="S15" s="872"/>
      <c r="T15" s="872"/>
      <c r="U15" s="872"/>
      <c r="V15" s="872"/>
      <c r="W15" s="872"/>
      <c r="X15" s="872"/>
      <c r="Y15" s="872"/>
      <c r="Z15" s="872"/>
      <c r="AA15" s="872"/>
      <c r="AB15" s="872"/>
      <c r="AC15" s="872"/>
      <c r="AD15" s="872"/>
      <c r="AE15" s="872"/>
      <c r="AF15" s="872"/>
      <c r="AG15" s="872"/>
      <c r="AH15" s="872"/>
      <c r="AI15" s="872"/>
      <c r="AJ15" s="872"/>
    </row>
    <row r="16" spans="3:36">
      <c r="C16" s="1"/>
      <c r="D16" s="1"/>
      <c r="E16" s="1"/>
      <c r="F16" s="1"/>
      <c r="G16" s="1"/>
      <c r="H16" s="1"/>
      <c r="I16" s="1"/>
      <c r="J16" s="1"/>
      <c r="K16" s="9"/>
      <c r="L16" s="9"/>
      <c r="M16" s="1"/>
      <c r="N16" s="1"/>
      <c r="O16" s="1"/>
      <c r="P16" s="1"/>
      <c r="Q16" s="1"/>
      <c r="R16" s="1"/>
      <c r="S16" s="1"/>
      <c r="T16" s="1"/>
      <c r="U16" s="1"/>
      <c r="V16" s="1"/>
      <c r="W16" s="1"/>
      <c r="X16" s="1"/>
      <c r="Y16" s="1"/>
      <c r="Z16" s="1"/>
      <c r="AA16" s="1"/>
      <c r="AB16" s="1"/>
      <c r="AC16" s="1"/>
      <c r="AD16" s="1"/>
      <c r="AE16" s="1"/>
      <c r="AF16" s="1"/>
      <c r="AG16" s="1"/>
      <c r="AH16" s="1"/>
      <c r="AI16" s="1"/>
      <c r="AJ16" s="1"/>
    </row>
    <row r="17" spans="3:36">
      <c r="C17" s="1"/>
      <c r="D17" s="1"/>
      <c r="E17" s="1"/>
      <c r="F17" s="1"/>
      <c r="G17" s="1"/>
      <c r="H17" s="1"/>
      <c r="I17" s="132"/>
      <c r="J17" s="6"/>
      <c r="K17" s="5"/>
      <c r="L17" s="5"/>
      <c r="M17" s="6"/>
      <c r="N17" s="6"/>
      <c r="O17" s="6"/>
      <c r="P17" s="6"/>
      <c r="Q17" s="6"/>
      <c r="R17" s="6"/>
      <c r="S17" s="6"/>
      <c r="T17" s="6"/>
      <c r="U17" s="6"/>
      <c r="V17" s="6"/>
      <c r="W17" s="6"/>
      <c r="X17" s="1"/>
      <c r="Y17" s="1"/>
      <c r="Z17" s="1"/>
      <c r="AA17" s="1"/>
      <c r="AB17" s="1"/>
      <c r="AC17" s="1"/>
      <c r="AD17" s="1"/>
      <c r="AE17" s="1"/>
      <c r="AF17" s="1"/>
      <c r="AG17" s="1"/>
      <c r="AH17" s="1"/>
      <c r="AI17" s="1"/>
      <c r="AJ17" s="1"/>
    </row>
    <row r="18" spans="3:36" ht="32.25" customHeight="1">
      <c r="C18" s="871" t="s">
        <v>1006</v>
      </c>
      <c r="D18" s="871"/>
      <c r="E18" s="871"/>
      <c r="F18" s="871"/>
      <c r="G18" s="871"/>
      <c r="H18" s="871"/>
      <c r="I18" s="871"/>
      <c r="J18" s="871"/>
      <c r="K18" s="871"/>
      <c r="L18" s="871"/>
      <c r="M18" s="871"/>
      <c r="N18" s="871"/>
      <c r="O18" s="871"/>
      <c r="P18" s="871"/>
      <c r="Q18" s="871"/>
      <c r="R18" s="871"/>
      <c r="S18" s="871"/>
      <c r="T18" s="871"/>
      <c r="U18" s="871"/>
      <c r="V18" s="871"/>
      <c r="W18" s="871"/>
      <c r="X18" s="871"/>
      <c r="Y18" s="871"/>
      <c r="Z18" s="871"/>
      <c r="AA18" s="871"/>
      <c r="AB18" s="871"/>
      <c r="AC18" s="871"/>
      <c r="AD18" s="871"/>
      <c r="AE18" s="871"/>
      <c r="AF18" s="871"/>
      <c r="AG18" s="871"/>
      <c r="AH18" s="871"/>
      <c r="AI18" s="871"/>
      <c r="AJ18" s="871"/>
    </row>
    <row r="19" spans="3:36">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3:36">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sheetData>
  <customSheetViews>
    <customSheetView guid="{82BC0C9B-70E2-44EC-8408-64CC9B36E280}" showGridLines="0" state="hidden">
      <selection activeCell="G5" sqref="G5:L5"/>
      <pageMargins left="0" right="0" top="0" bottom="0" header="0" footer="0"/>
      <pageSetup orientation="portrait" r:id="rId1"/>
    </customSheetView>
    <customSheetView guid="{795C8354-6623-430F-B16F-866AD45BC174}" showGridLines="0" state="hidden">
      <selection activeCell="G5" sqref="G5:L5"/>
      <pageMargins left="0" right="0" top="0" bottom="0" header="0" footer="0"/>
      <pageSetup orientation="portrait" r:id="rId2"/>
    </customSheetView>
    <customSheetView guid="{F8FDF2EC-A9AD-41AC-8138-AA3657B53E6D}" showGridLines="0" state="hidden">
      <selection activeCell="G5" sqref="G5:L5"/>
      <pageMargins left="0" right="0" top="0" bottom="0" header="0" footer="0"/>
      <pageSetup orientation="portrait" r:id="rId3"/>
    </customSheetView>
  </customSheetViews>
  <mergeCells count="40">
    <mergeCell ref="AC6:AF6"/>
    <mergeCell ref="Y6:AB6"/>
    <mergeCell ref="M9:P9"/>
    <mergeCell ref="Q9:T9"/>
    <mergeCell ref="U9:X9"/>
    <mergeCell ref="Y9:AB9"/>
    <mergeCell ref="AC7:AF7"/>
    <mergeCell ref="G7:L7"/>
    <mergeCell ref="M7:P7"/>
    <mergeCell ref="Q7:T7"/>
    <mergeCell ref="U7:X7"/>
    <mergeCell ref="Y7:AB7"/>
    <mergeCell ref="C18:AJ18"/>
    <mergeCell ref="C15:AJ15"/>
    <mergeCell ref="G11:AF11"/>
    <mergeCell ref="G9:L9"/>
    <mergeCell ref="AC8:AF8"/>
    <mergeCell ref="G8:L8"/>
    <mergeCell ref="M8:P8"/>
    <mergeCell ref="Q8:T8"/>
    <mergeCell ref="U8:X8"/>
    <mergeCell ref="Y8:AB8"/>
    <mergeCell ref="AC9:AF9"/>
    <mergeCell ref="E4:E9"/>
    <mergeCell ref="G6:L6"/>
    <mergeCell ref="M6:P6"/>
    <mergeCell ref="Q6:T6"/>
    <mergeCell ref="U6:X6"/>
    <mergeCell ref="Y5:AB5"/>
    <mergeCell ref="AC5:AF5"/>
    <mergeCell ref="Y4:AB4"/>
    <mergeCell ref="AC4:AF4"/>
    <mergeCell ref="G4:L4"/>
    <mergeCell ref="M4:P4"/>
    <mergeCell ref="Q4:T4"/>
    <mergeCell ref="U4:X4"/>
    <mergeCell ref="G5:L5"/>
    <mergeCell ref="M5:P5"/>
    <mergeCell ref="Q5:T5"/>
    <mergeCell ref="U5:X5"/>
  </mergeCells>
  <pageMargins left="0.7" right="0.7" top="0.75" bottom="0.75" header="0.3" footer="0.3"/>
  <pageSetup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1:AJ20"/>
  <sheetViews>
    <sheetView showGridLines="0" topLeftCell="A4" workbookViewId="0">
      <selection activeCell="E4" sqref="E4:AF11"/>
    </sheetView>
  </sheetViews>
  <sheetFormatPr baseColWidth="10" defaultColWidth="9.26953125" defaultRowHeight="14.5"/>
  <cols>
    <col min="1" max="5" width="3.7265625" customWidth="1"/>
    <col min="6" max="6" width="1.26953125" customWidth="1"/>
    <col min="7" max="36" width="3.7265625" customWidth="1"/>
  </cols>
  <sheetData>
    <row r="1" spans="3:36" ht="18" customHeight="1"/>
    <row r="4" spans="3:36" ht="51" customHeight="1">
      <c r="C4" s="1"/>
      <c r="D4" s="1"/>
      <c r="E4" s="876" t="s">
        <v>985</v>
      </c>
      <c r="F4" s="1"/>
      <c r="G4" s="868" t="s">
        <v>986</v>
      </c>
      <c r="H4" s="868"/>
      <c r="I4" s="868"/>
      <c r="J4" s="868"/>
      <c r="K4" s="868"/>
      <c r="L4" s="868"/>
      <c r="M4" s="869"/>
      <c r="N4" s="869"/>
      <c r="O4" s="869"/>
      <c r="P4" s="869"/>
      <c r="Q4" s="869"/>
      <c r="R4" s="869"/>
      <c r="S4" s="869"/>
      <c r="T4" s="869"/>
      <c r="U4" s="867"/>
      <c r="V4" s="867"/>
      <c r="W4" s="867"/>
      <c r="X4" s="867"/>
      <c r="Y4" s="867"/>
      <c r="Z4" s="867"/>
      <c r="AA4" s="867"/>
      <c r="AB4" s="867"/>
      <c r="AC4" s="867"/>
      <c r="AD4" s="867"/>
      <c r="AE4" s="867"/>
      <c r="AF4" s="867"/>
      <c r="AG4" s="1"/>
      <c r="AH4" s="1"/>
      <c r="AI4" s="1"/>
      <c r="AJ4" s="2"/>
    </row>
    <row r="5" spans="3:36" ht="51" customHeight="1">
      <c r="C5" s="1"/>
      <c r="D5" s="1"/>
      <c r="E5" s="876"/>
      <c r="F5" s="1"/>
      <c r="G5" s="868" t="s">
        <v>987</v>
      </c>
      <c r="H5" s="868"/>
      <c r="I5" s="868"/>
      <c r="J5" s="868"/>
      <c r="K5" s="868"/>
      <c r="L5" s="868"/>
      <c r="M5" s="870"/>
      <c r="N5" s="870"/>
      <c r="O5" s="870"/>
      <c r="P5" s="870"/>
      <c r="Q5" s="869"/>
      <c r="R5" s="869"/>
      <c r="S5" s="869"/>
      <c r="T5" s="869"/>
      <c r="U5" s="869"/>
      <c r="V5" s="869"/>
      <c r="W5" s="869"/>
      <c r="X5" s="869"/>
      <c r="Y5" s="867">
        <v>1</v>
      </c>
      <c r="Z5" s="867"/>
      <c r="AA5" s="867"/>
      <c r="AB5" s="867"/>
      <c r="AC5" s="867"/>
      <c r="AD5" s="867"/>
      <c r="AE5" s="867"/>
      <c r="AF5" s="867"/>
      <c r="AG5" s="1"/>
      <c r="AH5" s="1"/>
      <c r="AI5" s="1"/>
      <c r="AJ5" s="2"/>
    </row>
    <row r="6" spans="3:36" ht="51" customHeight="1">
      <c r="C6" s="1"/>
      <c r="D6" s="1"/>
      <c r="E6" s="876"/>
      <c r="F6" s="1"/>
      <c r="G6" s="868" t="s">
        <v>988</v>
      </c>
      <c r="H6" s="868"/>
      <c r="I6" s="868"/>
      <c r="J6" s="868"/>
      <c r="K6" s="868"/>
      <c r="L6" s="868"/>
      <c r="M6" s="875"/>
      <c r="N6" s="875"/>
      <c r="O6" s="875"/>
      <c r="P6" s="875"/>
      <c r="Q6" s="870"/>
      <c r="R6" s="870"/>
      <c r="S6" s="870"/>
      <c r="T6" s="870"/>
      <c r="U6" s="869"/>
      <c r="V6" s="869"/>
      <c r="W6" s="869"/>
      <c r="X6" s="869"/>
      <c r="Y6" s="867">
        <v>2</v>
      </c>
      <c r="Z6" s="867"/>
      <c r="AA6" s="867"/>
      <c r="AB6" s="867"/>
      <c r="AC6" s="867">
        <v>1</v>
      </c>
      <c r="AD6" s="867"/>
      <c r="AE6" s="867"/>
      <c r="AF6" s="867"/>
      <c r="AG6" s="1"/>
      <c r="AH6" s="1"/>
      <c r="AI6" s="1"/>
      <c r="AJ6" s="3"/>
    </row>
    <row r="7" spans="3:36" ht="51" customHeight="1">
      <c r="C7" s="1"/>
      <c r="D7" s="1"/>
      <c r="E7" s="876"/>
      <c r="F7" s="1"/>
      <c r="G7" s="868" t="s">
        <v>989</v>
      </c>
      <c r="H7" s="868"/>
      <c r="I7" s="868"/>
      <c r="J7" s="868"/>
      <c r="K7" s="868"/>
      <c r="L7" s="868"/>
      <c r="M7" s="875"/>
      <c r="N7" s="875"/>
      <c r="O7" s="875"/>
      <c r="P7" s="875"/>
      <c r="Q7" s="875"/>
      <c r="R7" s="875"/>
      <c r="S7" s="875"/>
      <c r="T7" s="875"/>
      <c r="U7" s="870"/>
      <c r="V7" s="870"/>
      <c r="W7" s="870"/>
      <c r="X7" s="870"/>
      <c r="Y7" s="869">
        <v>1</v>
      </c>
      <c r="Z7" s="869"/>
      <c r="AA7" s="869"/>
      <c r="AB7" s="869"/>
      <c r="AC7" s="867"/>
      <c r="AD7" s="867"/>
      <c r="AE7" s="867"/>
      <c r="AF7" s="867"/>
      <c r="AG7" s="1"/>
      <c r="AH7" s="1"/>
      <c r="AI7" s="1"/>
      <c r="AJ7" s="3" t="s">
        <v>944</v>
      </c>
    </row>
    <row r="8" spans="3:36" ht="51" customHeight="1">
      <c r="C8" s="1"/>
      <c r="D8" s="1"/>
      <c r="E8" s="876"/>
      <c r="F8" s="1"/>
      <c r="G8" s="868" t="s">
        <v>990</v>
      </c>
      <c r="H8" s="868"/>
      <c r="I8" s="868"/>
      <c r="J8" s="868"/>
      <c r="K8" s="868"/>
      <c r="L8" s="868"/>
      <c r="M8" s="875"/>
      <c r="N8" s="875"/>
      <c r="O8" s="875"/>
      <c r="P8" s="875"/>
      <c r="Q8" s="875"/>
      <c r="R8" s="875"/>
      <c r="S8" s="875"/>
      <c r="T8" s="875"/>
      <c r="U8" s="870"/>
      <c r="V8" s="870"/>
      <c r="W8" s="870"/>
      <c r="X8" s="870"/>
      <c r="Y8" s="869">
        <v>5</v>
      </c>
      <c r="Z8" s="869"/>
      <c r="AA8" s="869"/>
      <c r="AB8" s="869"/>
      <c r="AC8" s="867">
        <v>4</v>
      </c>
      <c r="AD8" s="867"/>
      <c r="AE8" s="867"/>
      <c r="AF8" s="867"/>
      <c r="AG8" s="1"/>
      <c r="AH8" s="1"/>
      <c r="AI8" s="1"/>
      <c r="AJ8" s="2"/>
    </row>
    <row r="9" spans="3:36" ht="45" customHeight="1">
      <c r="C9" s="1"/>
      <c r="D9" s="1"/>
      <c r="E9" s="876"/>
      <c r="F9" s="1"/>
      <c r="G9" s="874"/>
      <c r="H9" s="874"/>
      <c r="I9" s="874"/>
      <c r="J9" s="874"/>
      <c r="K9" s="874"/>
      <c r="L9" s="874"/>
      <c r="M9" s="868" t="s">
        <v>991</v>
      </c>
      <c r="N9" s="868"/>
      <c r="O9" s="868"/>
      <c r="P9" s="868"/>
      <c r="Q9" s="868" t="s">
        <v>992</v>
      </c>
      <c r="R9" s="868"/>
      <c r="S9" s="868"/>
      <c r="T9" s="868"/>
      <c r="U9" s="868" t="s">
        <v>993</v>
      </c>
      <c r="V9" s="868"/>
      <c r="W9" s="868"/>
      <c r="X9" s="868"/>
      <c r="Y9" s="868" t="s">
        <v>994</v>
      </c>
      <c r="Z9" s="868"/>
      <c r="AA9" s="868"/>
      <c r="AB9" s="868"/>
      <c r="AC9" s="868" t="s">
        <v>995</v>
      </c>
      <c r="AD9" s="868"/>
      <c r="AE9" s="868"/>
      <c r="AF9" s="868"/>
      <c r="AG9" s="1"/>
      <c r="AH9" s="1"/>
      <c r="AI9" s="1"/>
      <c r="AJ9" s="3" t="s">
        <v>996</v>
      </c>
    </row>
    <row r="10" spans="3:36" ht="11.25" customHeight="1">
      <c r="C10" s="1"/>
      <c r="D10" s="1"/>
      <c r="E10" s="1"/>
      <c r="F10" s="1"/>
      <c r="G10" s="13"/>
      <c r="H10" s="13"/>
      <c r="I10" s="13"/>
      <c r="J10" s="13"/>
      <c r="K10" s="13"/>
      <c r="L10" s="13"/>
      <c r="M10" s="12"/>
      <c r="N10" s="12"/>
      <c r="O10" s="12"/>
      <c r="P10" s="12"/>
      <c r="Q10" s="12"/>
      <c r="R10" s="12"/>
      <c r="S10" s="12"/>
      <c r="T10" s="12"/>
      <c r="U10" s="12"/>
      <c r="V10" s="12"/>
      <c r="W10" s="12"/>
      <c r="X10" s="12"/>
      <c r="Y10" s="12"/>
      <c r="Z10" s="12"/>
      <c r="AA10" s="12"/>
      <c r="AB10" s="12"/>
      <c r="AC10" s="12"/>
      <c r="AD10" s="12"/>
      <c r="AE10" s="12"/>
      <c r="AF10" s="12"/>
      <c r="AG10" s="1"/>
      <c r="AH10" s="1"/>
      <c r="AI10" s="1"/>
      <c r="AJ10" s="3"/>
    </row>
    <row r="11" spans="3:36" ht="20.25" customHeight="1">
      <c r="C11" s="1"/>
      <c r="D11" s="1"/>
      <c r="E11" s="1"/>
      <c r="F11" s="1"/>
      <c r="G11" s="873" t="s">
        <v>154</v>
      </c>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1"/>
      <c r="AH11" s="1"/>
      <c r="AI11" s="1"/>
      <c r="AJ11" s="2"/>
    </row>
    <row r="12" spans="3:36">
      <c r="C12" s="1"/>
      <c r="D12" s="1"/>
      <c r="E12" s="1"/>
      <c r="F12" s="1"/>
      <c r="G12" s="1"/>
      <c r="H12" s="1"/>
      <c r="I12" s="4"/>
      <c r="J12" s="5"/>
      <c r="K12" s="6"/>
      <c r="L12" s="7"/>
      <c r="M12" s="7"/>
      <c r="N12" s="6"/>
      <c r="O12" s="7"/>
      <c r="P12" s="7"/>
      <c r="Q12" s="6"/>
      <c r="R12" s="7"/>
      <c r="S12" s="7"/>
      <c r="T12" s="6"/>
      <c r="U12" s="7"/>
      <c r="V12" s="7"/>
      <c r="W12" s="7"/>
      <c r="X12" s="1"/>
      <c r="Y12" s="1"/>
      <c r="Z12" s="1"/>
      <c r="AA12" s="1"/>
      <c r="AB12" s="1"/>
      <c r="AC12" s="1"/>
      <c r="AD12" s="1"/>
      <c r="AE12" s="1"/>
      <c r="AF12" s="1"/>
      <c r="AG12" s="1"/>
      <c r="AH12" s="1"/>
      <c r="AI12" s="1"/>
      <c r="AJ12" s="1"/>
    </row>
    <row r="13" spans="3:36">
      <c r="C13" s="1"/>
      <c r="D13" s="1"/>
      <c r="E13" s="1"/>
      <c r="F13" s="1"/>
      <c r="G13" s="1"/>
      <c r="H13" s="1"/>
      <c r="I13" s="124"/>
      <c r="J13" s="1"/>
      <c r="K13" s="1"/>
      <c r="L13" s="1"/>
      <c r="M13" s="125" t="s">
        <v>997</v>
      </c>
      <c r="N13" s="126" t="s">
        <v>998</v>
      </c>
      <c r="O13" s="127"/>
      <c r="P13" s="8"/>
      <c r="Q13" s="128" t="s">
        <v>999</v>
      </c>
      <c r="R13" s="126" t="s">
        <v>1000</v>
      </c>
      <c r="S13" s="127"/>
      <c r="T13" s="8"/>
      <c r="U13" s="129" t="s">
        <v>1001</v>
      </c>
      <c r="V13" s="126" t="s">
        <v>1002</v>
      </c>
      <c r="W13" s="130"/>
      <c r="X13" s="8"/>
      <c r="Y13" s="131" t="s">
        <v>1003</v>
      </c>
      <c r="Z13" s="126" t="s">
        <v>1004</v>
      </c>
      <c r="AA13" s="8"/>
      <c r="AB13" s="1"/>
      <c r="AC13" s="1"/>
      <c r="AD13" s="1"/>
      <c r="AE13" s="1"/>
      <c r="AF13" s="1"/>
      <c r="AG13" s="1"/>
      <c r="AH13" s="1"/>
      <c r="AI13" s="1"/>
      <c r="AJ13" s="1"/>
    </row>
    <row r="14" spans="3:36">
      <c r="C14" s="1"/>
      <c r="D14" s="1"/>
      <c r="E14" s="1"/>
      <c r="F14" s="1"/>
      <c r="G14" s="1"/>
      <c r="H14" s="1"/>
      <c r="I14" s="132"/>
      <c r="J14" s="6"/>
      <c r="K14" s="5"/>
      <c r="L14" s="133"/>
      <c r="M14" s="132"/>
      <c r="N14" s="6"/>
      <c r="O14" s="132"/>
      <c r="P14" s="132"/>
      <c r="Q14" s="6"/>
      <c r="R14" s="132"/>
      <c r="S14" s="132"/>
      <c r="T14" s="6"/>
      <c r="U14" s="132"/>
      <c r="V14" s="132"/>
      <c r="W14" s="132"/>
      <c r="X14" s="1"/>
      <c r="Y14" s="1"/>
      <c r="Z14" s="1"/>
      <c r="AA14" s="1"/>
      <c r="AB14" s="1"/>
      <c r="AC14" s="1"/>
      <c r="AD14" s="1"/>
      <c r="AE14" s="1"/>
      <c r="AF14" s="1"/>
      <c r="AG14" s="1"/>
      <c r="AH14" s="1"/>
      <c r="AI14" s="1"/>
      <c r="AJ14" s="1"/>
    </row>
    <row r="15" spans="3:36">
      <c r="C15" s="872" t="s">
        <v>1005</v>
      </c>
      <c r="D15" s="872"/>
      <c r="E15" s="872"/>
      <c r="F15" s="872"/>
      <c r="G15" s="872"/>
      <c r="H15" s="872"/>
      <c r="I15" s="872"/>
      <c r="J15" s="872"/>
      <c r="K15" s="872"/>
      <c r="L15" s="872"/>
      <c r="M15" s="872"/>
      <c r="N15" s="872"/>
      <c r="O15" s="872"/>
      <c r="P15" s="872"/>
      <c r="Q15" s="872"/>
      <c r="R15" s="872"/>
      <c r="S15" s="872"/>
      <c r="T15" s="872"/>
      <c r="U15" s="872"/>
      <c r="V15" s="872"/>
      <c r="W15" s="872"/>
      <c r="X15" s="872"/>
      <c r="Y15" s="872"/>
      <c r="Z15" s="872"/>
      <c r="AA15" s="872"/>
      <c r="AB15" s="872"/>
      <c r="AC15" s="872"/>
      <c r="AD15" s="872"/>
      <c r="AE15" s="872"/>
      <c r="AF15" s="872"/>
      <c r="AG15" s="872"/>
      <c r="AH15" s="872"/>
      <c r="AI15" s="872"/>
      <c r="AJ15" s="872"/>
    </row>
    <row r="16" spans="3:36">
      <c r="C16" s="1"/>
      <c r="D16" s="1"/>
      <c r="E16" s="1"/>
      <c r="F16" s="1"/>
      <c r="G16" s="1"/>
      <c r="H16" s="1"/>
      <c r="I16" s="1"/>
      <c r="J16" s="1"/>
      <c r="K16" s="9"/>
      <c r="L16" s="9"/>
      <c r="M16" s="1"/>
      <c r="N16" s="1"/>
      <c r="O16" s="1"/>
      <c r="P16" s="1"/>
      <c r="Q16" s="1"/>
      <c r="R16" s="1"/>
      <c r="S16" s="1"/>
      <c r="T16" s="1"/>
      <c r="U16" s="1"/>
      <c r="V16" s="1"/>
      <c r="W16" s="1"/>
      <c r="X16" s="1"/>
      <c r="Y16" s="1"/>
      <c r="Z16" s="1"/>
      <c r="AA16" s="1"/>
      <c r="AB16" s="1"/>
      <c r="AC16" s="1"/>
      <c r="AD16" s="1"/>
      <c r="AE16" s="1"/>
      <c r="AF16" s="1"/>
      <c r="AG16" s="1"/>
      <c r="AH16" s="1"/>
      <c r="AI16" s="1"/>
      <c r="AJ16" s="1"/>
    </row>
    <row r="17" spans="3:36">
      <c r="C17" s="1"/>
      <c r="D17" s="1"/>
      <c r="E17" s="1"/>
      <c r="F17" s="1"/>
      <c r="G17" s="1"/>
      <c r="H17" s="1"/>
      <c r="I17" s="132"/>
      <c r="J17" s="6"/>
      <c r="K17" s="5"/>
      <c r="L17" s="5"/>
      <c r="M17" s="6"/>
      <c r="N17" s="6"/>
      <c r="O17" s="6"/>
      <c r="P17" s="6"/>
      <c r="Q17" s="6"/>
      <c r="R17" s="6"/>
      <c r="S17" s="6"/>
      <c r="T17" s="6"/>
      <c r="U17" s="6"/>
      <c r="V17" s="6"/>
      <c r="W17" s="6"/>
      <c r="X17" s="1"/>
      <c r="Y17" s="1"/>
      <c r="Z17" s="1"/>
      <c r="AA17" s="1"/>
      <c r="AB17" s="1"/>
      <c r="AC17" s="1"/>
      <c r="AD17" s="1"/>
      <c r="AE17" s="1"/>
      <c r="AF17" s="1"/>
      <c r="AG17" s="1"/>
      <c r="AH17" s="1"/>
      <c r="AI17" s="1"/>
      <c r="AJ17" s="1"/>
    </row>
    <row r="18" spans="3:36" ht="32.25" customHeight="1">
      <c r="C18" s="871" t="s">
        <v>1006</v>
      </c>
      <c r="D18" s="871"/>
      <c r="E18" s="871"/>
      <c r="F18" s="871"/>
      <c r="G18" s="871"/>
      <c r="H18" s="871"/>
      <c r="I18" s="871"/>
      <c r="J18" s="871"/>
      <c r="K18" s="871"/>
      <c r="L18" s="871"/>
      <c r="M18" s="871"/>
      <c r="N18" s="871"/>
      <c r="O18" s="871"/>
      <c r="P18" s="871"/>
      <c r="Q18" s="871"/>
      <c r="R18" s="871"/>
      <c r="S18" s="871"/>
      <c r="T18" s="871"/>
      <c r="U18" s="871"/>
      <c r="V18" s="871"/>
      <c r="W18" s="871"/>
      <c r="X18" s="871"/>
      <c r="Y18" s="871"/>
      <c r="Z18" s="871"/>
      <c r="AA18" s="871"/>
      <c r="AB18" s="871"/>
      <c r="AC18" s="871"/>
      <c r="AD18" s="871"/>
      <c r="AE18" s="871"/>
      <c r="AF18" s="871"/>
      <c r="AG18" s="871"/>
      <c r="AH18" s="871"/>
      <c r="AI18" s="871"/>
      <c r="AJ18" s="871"/>
    </row>
    <row r="19" spans="3:36">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3:36">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sheetData>
  <mergeCells count="40">
    <mergeCell ref="AC4:AF4"/>
    <mergeCell ref="G5:L5"/>
    <mergeCell ref="M5:P5"/>
    <mergeCell ref="Q5:T5"/>
    <mergeCell ref="U5:X5"/>
    <mergeCell ref="Y5:AB5"/>
    <mergeCell ref="AC5:AF5"/>
    <mergeCell ref="G4:L4"/>
    <mergeCell ref="M4:P4"/>
    <mergeCell ref="Q4:T4"/>
    <mergeCell ref="U4:X4"/>
    <mergeCell ref="Y4:AB4"/>
    <mergeCell ref="Y8:AB8"/>
    <mergeCell ref="G11:AF11"/>
    <mergeCell ref="G6:L6"/>
    <mergeCell ref="M6:P6"/>
    <mergeCell ref="Q6:T6"/>
    <mergeCell ref="U6:X6"/>
    <mergeCell ref="G8:L8"/>
    <mergeCell ref="M8:P8"/>
    <mergeCell ref="Q8:T8"/>
    <mergeCell ref="M7:P7"/>
    <mergeCell ref="Q7:T7"/>
    <mergeCell ref="U7:X7"/>
    <mergeCell ref="C15:AJ15"/>
    <mergeCell ref="C18:AJ18"/>
    <mergeCell ref="G9:L9"/>
    <mergeCell ref="M9:P9"/>
    <mergeCell ref="Q9:T9"/>
    <mergeCell ref="U9:X9"/>
    <mergeCell ref="Y9:AB9"/>
    <mergeCell ref="AC9:AF9"/>
    <mergeCell ref="E4:E9"/>
    <mergeCell ref="AC8:AF8"/>
    <mergeCell ref="Y6:AB6"/>
    <mergeCell ref="AC6:AF6"/>
    <mergeCell ref="G7:L7"/>
    <mergeCell ref="Y7:AB7"/>
    <mergeCell ref="AC7:AF7"/>
    <mergeCell ref="U8:X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0FBA7F62C14F041A0FB3EFC7596E368" ma:contentTypeVersion="1" ma:contentTypeDescription="Crear nuevo documento." ma:contentTypeScope="" ma:versionID="348b18b5fc41e64fad00b1cd561ffcbc">
  <xsd:schema xmlns:xsd="http://www.w3.org/2001/XMLSchema" xmlns:xs="http://www.w3.org/2001/XMLSchema" xmlns:p="http://schemas.microsoft.com/office/2006/metadata/properties" xmlns:ns1="http://schemas.microsoft.com/sharepoint/v3" xmlns:ns2="81cc8fc0-8d1e-4295-8f37-5d076116407c" targetNamespace="http://schemas.microsoft.com/office/2006/metadata/properties" ma:root="true" ma:fieldsID="0ca9f3ac2d15db8bb029348aee8f1b74" ns1:_="" ns2:_="">
    <xsd:import namespace="http://schemas.microsoft.com/sharepoint/v3"/>
    <xsd:import namespace="81cc8fc0-8d1e-4295-8f37-5d076116407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81cc8fc0-8d1e-4295-8f37-5d076116407c">2TV4CCKVFCYA-1167877901-1337</_dlc_DocId>
    <_dlc_DocIdUrl xmlns="81cc8fc0-8d1e-4295-8f37-5d076116407c">
      <Url>https://www.minjusticia.gov.co/ministerio/_layouts/15/DocIdRedir.aspx?ID=2TV4CCKVFCYA-1167877901-1337</Url>
      <Description>2TV4CCKVFCYA-1167877901-1337</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9B487B7-830D-43BE-969A-359317670F2F}"/>
</file>

<file path=customXml/itemProps2.xml><?xml version="1.0" encoding="utf-8"?>
<ds:datastoreItem xmlns:ds="http://schemas.openxmlformats.org/officeDocument/2006/customXml" ds:itemID="{72E9DD4D-EE4E-40C2-A99E-9DBA52FD2A53}"/>
</file>

<file path=customXml/itemProps3.xml><?xml version="1.0" encoding="utf-8"?>
<ds:datastoreItem xmlns:ds="http://schemas.openxmlformats.org/officeDocument/2006/customXml" ds:itemID="{A1650FAA-EF79-4571-8B8E-1BD280720C72}"/>
</file>

<file path=customXml/itemProps4.xml><?xml version="1.0" encoding="utf-8"?>
<ds:datastoreItem xmlns:ds="http://schemas.openxmlformats.org/officeDocument/2006/customXml" ds:itemID="{A739760B-B7C4-4E01-BA84-CFA4F42E16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44</vt:i4>
      </vt:variant>
    </vt:vector>
  </HeadingPairs>
  <TitlesOfParts>
    <vt:vector size="56" baseType="lpstr">
      <vt:lpstr>Listados</vt:lpstr>
      <vt:lpstr>Matriz Riesgos Gestión</vt:lpstr>
      <vt:lpstr>Hoja2</vt:lpstr>
      <vt:lpstr>Matriz Riesgos Corrupción</vt:lpstr>
      <vt:lpstr>Matriz Riesgos Seg. Información</vt:lpstr>
      <vt:lpstr>Seguridad Información</vt:lpstr>
      <vt:lpstr>Probabilidad Seguridad Informac</vt:lpstr>
      <vt:lpstr>Riesgo Corrupción</vt:lpstr>
      <vt:lpstr>Corrupción</vt:lpstr>
      <vt:lpstr>CONTROLES</vt:lpstr>
      <vt:lpstr>Matriz de calificación</vt:lpstr>
      <vt:lpstr>Matriz de calificación (2)</vt:lpstr>
      <vt:lpstr>_10._CIFRADO.</vt:lpstr>
      <vt:lpstr>_11._SEGURIDAD_FÍSICA_Y_AMBIENTAL.</vt:lpstr>
      <vt:lpstr>_12._SEGURIDAD_EN_LA_OPERATIVA.</vt:lpstr>
      <vt:lpstr>_13._SEGURIDAD_EN_LAS_TELECOMUNICACIONES.</vt:lpstr>
      <vt:lpstr>_14._ADQUISICIÓN__DESARROLLO_Y_MANTENIMIENTO_DE_LOS_SISTEMAS_DE_INFORMACIÓN.</vt:lpstr>
      <vt:lpstr>_15._RELACIONES_CON_SUMINISTRADORES.</vt:lpstr>
      <vt:lpstr>_16._GESTIÓN_DE_INCIDENTES_EN_LA_SEGURIDAD_DE_LA_INFORMACIÓN.</vt:lpstr>
      <vt:lpstr>_17._ASPECTOS_DE_SEGURIDAD_DE_LA_INFORMACION_EN_LA_GESTIÓN_DE_LA_CONTINUIDAD_DEL_NEGOCIO.</vt:lpstr>
      <vt:lpstr>_18._CUMPLIMIENTO.</vt:lpstr>
      <vt:lpstr>_5._POLÍTICAS_DE_SEGURIDAD.</vt:lpstr>
      <vt:lpstr>_6._ASPECTOS_ORGANIZATIVOS_DE_LA_SEGURIDAD_DE_LA_INFORMAC.</vt:lpstr>
      <vt:lpstr>_7._SEGURIDAD_LIGADA_A_LOS_RECURSOS_HUMANOS.</vt:lpstr>
      <vt:lpstr>_8._GESTIÓN_DE_ACTIVOS.</vt:lpstr>
      <vt:lpstr>_9._CONTROL_DE_ACCESOS.</vt:lpstr>
      <vt:lpstr>'Matriz Riesgos Corrupción'!Área_de_impresión</vt:lpstr>
      <vt:lpstr>'Matriz Riesgos Gestión'!Área_de_impresión</vt:lpstr>
      <vt:lpstr>'Matriz Riesgos Seg. Información'!Área_de_impresión</vt:lpstr>
      <vt:lpstr>CD</vt:lpstr>
      <vt:lpstr>CI</vt:lpstr>
      <vt:lpstr>CID</vt:lpstr>
      <vt:lpstr>Confidencialidad</vt:lpstr>
      <vt:lpstr>CONFIDENCIALIDAD.</vt:lpstr>
      <vt:lpstr>CONFIDENCIALIDAD_</vt:lpstr>
      <vt:lpstr>Confidencialidad_Disponibilidad</vt:lpstr>
      <vt:lpstr>CONFIDENCIALIDAD_DISPONIBILIDAD.</vt:lpstr>
      <vt:lpstr>CONFIDENCIALIDAD_DISPONIBILIDAD_</vt:lpstr>
      <vt:lpstr>Confidencialidad_integridad</vt:lpstr>
      <vt:lpstr>CONFIDENCIALIDAD_INTEGRIDAD.</vt:lpstr>
      <vt:lpstr>CONFIDENCIALIDAD_INTEGRIDAD_</vt:lpstr>
      <vt:lpstr>Confidencialidad_Integridad_Disponibilidad</vt:lpstr>
      <vt:lpstr>CONFIDENCIALIDAD_INTEGRIDAD_DISPONIBILIDAD.</vt:lpstr>
      <vt:lpstr>CONFIDENCIALIDAD_INTEGRIDAD_DISPONIBILIDAD_</vt:lpstr>
      <vt:lpstr>Disponibilidad</vt:lpstr>
      <vt:lpstr>DISPONIBILIDAD.</vt:lpstr>
      <vt:lpstr>DISPONIBILIDAD_</vt:lpstr>
      <vt:lpstr>Integridad</vt:lpstr>
      <vt:lpstr>INTEGRIDAD.</vt:lpstr>
      <vt:lpstr>INTEGRIDAD_</vt:lpstr>
      <vt:lpstr>Integridad_Disponibilidad</vt:lpstr>
      <vt:lpstr>INTEGRIDAD_DISPONIBILIDAD.</vt:lpstr>
      <vt:lpstr>INTEGRIDAD_DISPONIBILIDAD_</vt:lpstr>
      <vt:lpstr>'Matriz Riesgos Corrupción'!Títulos_a_imprimir</vt:lpstr>
      <vt:lpstr>'Matriz Riesgos Gestión'!Títulos_a_imprimir</vt:lpstr>
      <vt:lpstr>'Matriz Riesgos Seg. Información'!Títulos_a_imprimir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leonardo carrillo cortes</dc:creator>
  <cp:keywords/>
  <dc:description/>
  <cp:lastModifiedBy>Luisa Fernanda Santiago Delvasto</cp:lastModifiedBy>
  <cp:revision/>
  <dcterms:created xsi:type="dcterms:W3CDTF">2014-12-15T18:53:48Z</dcterms:created>
  <dcterms:modified xsi:type="dcterms:W3CDTF">2023-11-23T16:48:20Z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0x01010020FBA7F62C14F041A0FB3EFC7596E368</vt:lpwstr>
  </property>
  <property fmtid="{D5CDD505-2E9C-101B-9397-08002B2CF9AE}" pid="3" name="_dlc_DocIdItemGuid">
    <vt:lpwstr>04c5ca33-7718-4965-ba12-c5a764c86652</vt:lpwstr>
  </property>
</Properties>
</file>